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28455" windowHeight="12210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Grade'!$C$12:$C$42</definedName>
    <definedName name="HasMet" localSheetId="0">'Qualification Grade'!$BC$2</definedName>
    <definedName name="HurdleGroup" localSheetId="0">'Qualification Grade'!$J$12:$J$41</definedName>
    <definedName name="InternalAssessment" localSheetId="0">'Qualification Grade'!$DP$1:$DS$181</definedName>
    <definedName name="MandatoryGrades" localSheetId="0">'Qualification Grade'!$EL$1:$EL$4</definedName>
    <definedName name="MandatoryScoreGroup" localSheetId="0">'Qualification Grade'!$I$12:$I$41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Grade'!$CV$1:$DC$31</definedName>
    <definedName name="RawUmsPercent" localSheetId="0">'Qualification Grade'!$AY$2</definedName>
    <definedName name="Selections" localSheetId="0">'Qualification Grade'!$F$12:$F$41</definedName>
    <definedName name="TotalGHL" localSheetId="0">'Qualification Grade'!$CW$32</definedName>
    <definedName name="UMSGroup" localSheetId="0">'Qualification Grade'!$H$12:$H$41</definedName>
    <definedName name="UnitSelections" localSheetId="0">'Qualification Grade'!$E$11:$F$41</definedName>
  </definedNames>
  <calcPr calcId="145621"/>
</workbook>
</file>

<file path=xl/calcChain.xml><?xml version="1.0" encoding="utf-8"?>
<calcChain xmlns="http://schemas.openxmlformats.org/spreadsheetml/2006/main">
  <c r="J41" i="1" l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J19" i="1"/>
  <c r="I19" i="1"/>
  <c r="H19" i="1"/>
  <c r="CW18" i="1"/>
  <c r="J18" i="1"/>
  <c r="I18" i="1"/>
  <c r="H18" i="1"/>
  <c r="CW17" i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J13" i="1"/>
  <c r="BB2" i="1" s="1"/>
  <c r="I13" i="1"/>
  <c r="CW12" i="1"/>
  <c r="J12" i="1"/>
  <c r="I12" i="1"/>
  <c r="AZ2" i="1" s="1"/>
  <c r="BC2" i="1" s="1"/>
  <c r="F7" i="1" s="1"/>
  <c r="CW11" i="1"/>
  <c r="CW10" i="1"/>
  <c r="CW9" i="1"/>
  <c r="CW8" i="1"/>
  <c r="CW7" i="1"/>
  <c r="CW6" i="1"/>
  <c r="CW5" i="1"/>
  <c r="CW4" i="1"/>
  <c r="CW3" i="1"/>
  <c r="CW2" i="1"/>
  <c r="BA2" i="1"/>
  <c r="CW32" i="1" l="1"/>
  <c r="CX3" i="1"/>
  <c r="CY3" i="1" s="1"/>
  <c r="CX6" i="1"/>
  <c r="CY6" i="1" s="1"/>
  <c r="CX12" i="1"/>
  <c r="CY12" i="1" s="1"/>
  <c r="CX16" i="1"/>
  <c r="CY16" i="1" s="1"/>
  <c r="CX21" i="1"/>
  <c r="CY21" i="1" s="1"/>
  <c r="CX18" i="1"/>
  <c r="CY18" i="1" s="1"/>
  <c r="CX31" i="1"/>
  <c r="CY31" i="1" s="1"/>
  <c r="CX29" i="1"/>
  <c r="CY29" i="1" s="1"/>
  <c r="DB29" i="1" l="1"/>
  <c r="DQ168" i="1" s="1"/>
  <c r="CZ29" i="1"/>
  <c r="DQ166" i="1" s="1"/>
  <c r="DA29" i="1"/>
  <c r="DQ167" i="1" s="1"/>
  <c r="DC29" i="1"/>
  <c r="DQ169" i="1" s="1"/>
  <c r="DB31" i="1"/>
  <c r="DQ180" i="1" s="1"/>
  <c r="CZ31" i="1"/>
  <c r="DQ178" i="1" s="1"/>
  <c r="DC31" i="1"/>
  <c r="DQ181" i="1" s="1"/>
  <c r="DA31" i="1"/>
  <c r="DQ179" i="1" s="1"/>
  <c r="DB18" i="1"/>
  <c r="DQ102" i="1" s="1"/>
  <c r="CZ18" i="1"/>
  <c r="DQ100" i="1" s="1"/>
  <c r="DA18" i="1"/>
  <c r="DQ101" i="1" s="1"/>
  <c r="DC18" i="1"/>
  <c r="DQ103" i="1" s="1"/>
  <c r="DC21" i="1"/>
  <c r="DQ121" i="1" s="1"/>
  <c r="DA21" i="1"/>
  <c r="DQ119" i="1" s="1"/>
  <c r="DB21" i="1"/>
  <c r="DQ120" i="1" s="1"/>
  <c r="CZ21" i="1"/>
  <c r="DQ118" i="1" s="1"/>
  <c r="DB16" i="1"/>
  <c r="DQ90" i="1" s="1"/>
  <c r="CZ16" i="1"/>
  <c r="DQ88" i="1" s="1"/>
  <c r="DC16" i="1"/>
  <c r="DQ91" i="1" s="1"/>
  <c r="DA16" i="1"/>
  <c r="DQ89" i="1" s="1"/>
  <c r="DB12" i="1"/>
  <c r="DQ66" i="1" s="1"/>
  <c r="CZ12" i="1"/>
  <c r="DQ64" i="1" s="1"/>
  <c r="DC12" i="1"/>
  <c r="DQ67" i="1" s="1"/>
  <c r="DA12" i="1"/>
  <c r="DQ65" i="1" s="1"/>
  <c r="DB6" i="1"/>
  <c r="DQ30" i="1" s="1"/>
  <c r="CZ6" i="1"/>
  <c r="DQ28" i="1" s="1"/>
  <c r="DC6" i="1"/>
  <c r="DQ31" i="1" s="1"/>
  <c r="DA6" i="1"/>
  <c r="DQ29" i="1" s="1"/>
  <c r="DB3" i="1"/>
  <c r="DQ12" i="1" s="1"/>
  <c r="CZ3" i="1"/>
  <c r="DQ10" i="1" s="1"/>
  <c r="H13" i="1" s="1"/>
  <c r="DC3" i="1"/>
  <c r="DQ13" i="1" s="1"/>
  <c r="DA3" i="1"/>
  <c r="DQ11" i="1" s="1"/>
  <c r="CX30" i="1"/>
  <c r="CY30" i="1" s="1"/>
  <c r="CX27" i="1"/>
  <c r="CY27" i="1" s="1"/>
  <c r="CX24" i="1"/>
  <c r="CY24" i="1" s="1"/>
  <c r="CX28" i="1"/>
  <c r="CY28" i="1" s="1"/>
  <c r="CX26" i="1"/>
  <c r="CY26" i="1" s="1"/>
  <c r="CX22" i="1"/>
  <c r="CY22" i="1" s="1"/>
  <c r="CX19" i="1"/>
  <c r="CY19" i="1" s="1"/>
  <c r="CX10" i="1"/>
  <c r="CY10" i="1" s="1"/>
  <c r="CX8" i="1"/>
  <c r="CY8" i="1" s="1"/>
  <c r="CX17" i="1"/>
  <c r="CY17" i="1" s="1"/>
  <c r="CX13" i="1"/>
  <c r="CY13" i="1" s="1"/>
  <c r="CX11" i="1"/>
  <c r="CY11" i="1" s="1"/>
  <c r="CX7" i="1"/>
  <c r="CY7" i="1" s="1"/>
  <c r="CX5" i="1"/>
  <c r="CY5" i="1" s="1"/>
  <c r="CX23" i="1"/>
  <c r="CY23" i="1" s="1"/>
  <c r="CX25" i="1"/>
  <c r="CY25" i="1" s="1"/>
  <c r="CX15" i="1"/>
  <c r="CY15" i="1" s="1"/>
  <c r="CX20" i="1"/>
  <c r="CY20" i="1" s="1"/>
  <c r="CX14" i="1"/>
  <c r="CY14" i="1" s="1"/>
  <c r="CX9" i="1"/>
  <c r="CY9" i="1" s="1"/>
  <c r="CX4" i="1"/>
  <c r="CY4" i="1" s="1"/>
  <c r="CX2" i="1"/>
  <c r="CY2" i="1" s="1"/>
  <c r="DB4" i="1" l="1"/>
  <c r="DQ18" i="1" s="1"/>
  <c r="CZ4" i="1"/>
  <c r="DQ16" i="1" s="1"/>
  <c r="H14" i="1" s="1"/>
  <c r="DC4" i="1"/>
  <c r="DQ19" i="1" s="1"/>
  <c r="DA4" i="1"/>
  <c r="DQ17" i="1" s="1"/>
  <c r="DB14" i="1"/>
  <c r="DQ78" i="1" s="1"/>
  <c r="CZ14" i="1"/>
  <c r="DQ76" i="1" s="1"/>
  <c r="DC14" i="1"/>
  <c r="DQ79" i="1" s="1"/>
  <c r="DA14" i="1"/>
  <c r="DQ77" i="1" s="1"/>
  <c r="DB15" i="1"/>
  <c r="DQ84" i="1" s="1"/>
  <c r="CZ15" i="1"/>
  <c r="DQ82" i="1" s="1"/>
  <c r="DA15" i="1"/>
  <c r="DQ83" i="1" s="1"/>
  <c r="DC15" i="1"/>
  <c r="DQ85" i="1" s="1"/>
  <c r="DB23" i="1"/>
  <c r="DQ132" i="1" s="1"/>
  <c r="CZ23" i="1"/>
  <c r="DQ130" i="1" s="1"/>
  <c r="DA23" i="1"/>
  <c r="DQ131" i="1" s="1"/>
  <c r="DC23" i="1"/>
  <c r="DQ133" i="1" s="1"/>
  <c r="DC7" i="1"/>
  <c r="DQ37" i="1" s="1"/>
  <c r="DA7" i="1"/>
  <c r="DQ35" i="1" s="1"/>
  <c r="CZ7" i="1"/>
  <c r="DQ34" i="1" s="1"/>
  <c r="DB7" i="1"/>
  <c r="DQ36" i="1" s="1"/>
  <c r="DC13" i="1"/>
  <c r="DQ73" i="1" s="1"/>
  <c r="DA13" i="1"/>
  <c r="DQ71" i="1" s="1"/>
  <c r="CZ13" i="1"/>
  <c r="DQ70" i="1" s="1"/>
  <c r="DB13" i="1"/>
  <c r="DQ72" i="1" s="1"/>
  <c r="DC8" i="1"/>
  <c r="DQ43" i="1" s="1"/>
  <c r="DA8" i="1"/>
  <c r="DQ41" i="1" s="1"/>
  <c r="DB8" i="1"/>
  <c r="DQ42" i="1" s="1"/>
  <c r="CZ8" i="1"/>
  <c r="DQ40" i="1" s="1"/>
  <c r="DC19" i="1"/>
  <c r="DQ109" i="1" s="1"/>
  <c r="DA19" i="1"/>
  <c r="DQ107" i="1" s="1"/>
  <c r="DB19" i="1"/>
  <c r="DQ108" i="1" s="1"/>
  <c r="CZ19" i="1"/>
  <c r="DQ106" i="1" s="1"/>
  <c r="DC26" i="1"/>
  <c r="DQ151" i="1" s="1"/>
  <c r="DA26" i="1"/>
  <c r="DQ149" i="1" s="1"/>
  <c r="CZ26" i="1"/>
  <c r="DQ148" i="1" s="1"/>
  <c r="DB26" i="1"/>
  <c r="DQ150" i="1" s="1"/>
  <c r="DC24" i="1"/>
  <c r="DQ139" i="1" s="1"/>
  <c r="DA24" i="1"/>
  <c r="DQ137" i="1" s="1"/>
  <c r="DB24" i="1"/>
  <c r="DQ138" i="1" s="1"/>
  <c r="CZ24" i="1"/>
  <c r="DQ136" i="1" s="1"/>
  <c r="DC30" i="1"/>
  <c r="DQ175" i="1" s="1"/>
  <c r="DA30" i="1"/>
  <c r="DQ173" i="1" s="1"/>
  <c r="DB30" i="1"/>
  <c r="DQ174" i="1" s="1"/>
  <c r="CZ30" i="1"/>
  <c r="DQ172" i="1" s="1"/>
  <c r="DB2" i="1"/>
  <c r="DQ6" i="1" s="1"/>
  <c r="CZ2" i="1"/>
  <c r="DQ4" i="1" s="1"/>
  <c r="H12" i="1" s="1"/>
  <c r="DC2" i="1"/>
  <c r="DQ7" i="1" s="1"/>
  <c r="DA2" i="1"/>
  <c r="DQ5" i="1" s="1"/>
  <c r="DB9" i="1"/>
  <c r="DQ48" i="1" s="1"/>
  <c r="CZ9" i="1"/>
  <c r="DQ46" i="1" s="1"/>
  <c r="DC9" i="1"/>
  <c r="DQ49" i="1" s="1"/>
  <c r="DA9" i="1"/>
  <c r="DQ47" i="1" s="1"/>
  <c r="DB20" i="1"/>
  <c r="DQ114" i="1" s="1"/>
  <c r="CZ20" i="1"/>
  <c r="DQ112" i="1" s="1"/>
  <c r="DC20" i="1"/>
  <c r="DQ115" i="1" s="1"/>
  <c r="DA20" i="1"/>
  <c r="DQ113" i="1" s="1"/>
  <c r="DB25" i="1"/>
  <c r="DQ144" i="1" s="1"/>
  <c r="CZ25" i="1"/>
  <c r="DQ142" i="1" s="1"/>
  <c r="DC25" i="1"/>
  <c r="DQ145" i="1" s="1"/>
  <c r="DA25" i="1"/>
  <c r="DQ143" i="1" s="1"/>
  <c r="DC5" i="1"/>
  <c r="DQ25" i="1" s="1"/>
  <c r="DA5" i="1"/>
  <c r="DQ23" i="1" s="1"/>
  <c r="CZ5" i="1"/>
  <c r="DQ22" i="1" s="1"/>
  <c r="DB5" i="1"/>
  <c r="DQ24" i="1" s="1"/>
  <c r="DC11" i="1"/>
  <c r="DQ61" i="1" s="1"/>
  <c r="DA11" i="1"/>
  <c r="DQ59" i="1" s="1"/>
  <c r="CZ11" i="1"/>
  <c r="DQ58" i="1" s="1"/>
  <c r="DB11" i="1"/>
  <c r="DQ60" i="1" s="1"/>
  <c r="DC17" i="1"/>
  <c r="DQ97" i="1" s="1"/>
  <c r="DA17" i="1"/>
  <c r="DQ95" i="1" s="1"/>
  <c r="CZ17" i="1"/>
  <c r="DQ94" i="1" s="1"/>
  <c r="DB17" i="1"/>
  <c r="DQ96" i="1" s="1"/>
  <c r="DC10" i="1"/>
  <c r="DQ55" i="1" s="1"/>
  <c r="DA10" i="1"/>
  <c r="DQ53" i="1" s="1"/>
  <c r="DB10" i="1"/>
  <c r="DQ54" i="1" s="1"/>
  <c r="CZ10" i="1"/>
  <c r="DQ52" i="1" s="1"/>
  <c r="DC22" i="1"/>
  <c r="DQ127" i="1" s="1"/>
  <c r="DA22" i="1"/>
  <c r="DQ125" i="1" s="1"/>
  <c r="CZ22" i="1"/>
  <c r="DQ124" i="1" s="1"/>
  <c r="DB22" i="1"/>
  <c r="DQ126" i="1" s="1"/>
  <c r="DC28" i="1"/>
  <c r="DQ163" i="1" s="1"/>
  <c r="DA28" i="1"/>
  <c r="DQ161" i="1" s="1"/>
  <c r="CZ28" i="1"/>
  <c r="DQ160" i="1" s="1"/>
  <c r="DB28" i="1"/>
  <c r="DQ162" i="1" s="1"/>
  <c r="DC27" i="1"/>
  <c r="DQ157" i="1" s="1"/>
  <c r="DA27" i="1"/>
  <c r="DQ155" i="1" s="1"/>
  <c r="DB27" i="1"/>
  <c r="DQ156" i="1" s="1"/>
  <c r="CZ27" i="1"/>
  <c r="DQ154" i="1" s="1"/>
  <c r="AX2" i="1" l="1"/>
  <c r="AY2" i="1"/>
  <c r="FF5" i="1" l="1"/>
  <c r="FF3" i="1"/>
  <c r="FF2" i="1"/>
  <c r="BD2" i="1" s="1"/>
  <c r="FF4" i="1"/>
</calcChain>
</file>

<file path=xl/sharedStrings.xml><?xml version="1.0" encoding="utf-8"?>
<sst xmlns="http://schemas.openxmlformats.org/spreadsheetml/2006/main" count="348" uniqueCount="242">
  <si>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</si>
  <si>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</si>
  <si>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</si>
  <si>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</si>
  <si>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</si>
  <si>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</si>
  <si>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</si>
  <si>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</si>
  <si>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</si>
  <si>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</si>
  <si>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</si>
  <si>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</si>
  <si>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</si>
  <si>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</si>
  <si>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</si>
  <si>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</si>
  <si>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</si>
  <si>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</si>
  <si>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</si>
  <si>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</si>
  <si>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</si>
  <si>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</si>
  <si>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</si>
  <si>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</si>
  <si>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</si>
  <si>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L/508/4584 - Principles of Anatomy and Physiology</t>
  </si>
  <si>
    <t>J/508/4583 - Exercise, Health and Lifestyle_Not Yet Achieved</t>
  </si>
  <si>
    <t>Grading Calculator</t>
  </si>
  <si>
    <t>T/508/4627 - Applied Exercise Physiology</t>
  </si>
  <si>
    <t>J/508/4583 - Exercise, Health and Lifestyle_Pass</t>
  </si>
  <si>
    <t>601/8883/2/SES - NCFE Level 3 Extended Diploma in Sport and Physical Activity (Sport and Exercise Science)</t>
  </si>
  <si>
    <t>M/508/4626 - Biomechanics</t>
  </si>
  <si>
    <t>J/508/4583 - Exercise, Health and Lifestyle_Merit</t>
  </si>
  <si>
    <t>Estimated Final Grade</t>
  </si>
  <si>
    <t>H/508/4591 - Fitness Testing for Sport and Exercise</t>
  </si>
  <si>
    <t>J/508/4583 - Exercise, Health and Lifestyle_Distinction</t>
  </si>
  <si>
    <t>Learners are required to successfully complete 3 mandatory units and 15 optional units.</t>
  </si>
  <si>
    <t>F/508/4632 - Laboratory and Field Based Experiment Methods</t>
  </si>
  <si>
    <t>D/508/4637 - Preparing for a Career in Sport and Physical Activity_</t>
  </si>
  <si>
    <t>Y/508/4605 - Research Project in Sport and Exercise Sciences</t>
  </si>
  <si>
    <t>D/508/4637 - Preparing for a Career in Sport and Physical Activity_Not Applicable</t>
  </si>
  <si>
    <t>K/508/4592 - Psychology for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</si>
  <si>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</si>
  <si>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</si>
  <si>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</si>
  <si>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</si>
  <si>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</si>
  <si>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</si>
  <si>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K/508/4625 - Applied Sports Psychology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</si>
  <si>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</si>
  <si>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</si>
  <si>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</si>
  <si>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</si>
  <si>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</si>
  <si>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</si>
  <si>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K/508/4589 - The Physiology of Fitness</t>
  </si>
  <si>
    <t>L/508/4584 - Principles of Anatomy and Physiology_</t>
  </si>
  <si>
    <t>No</t>
  </si>
  <si>
    <t>F/508/4582 - Assessing Risk in Sport</t>
  </si>
  <si>
    <t>L/508/4584 - Principles of Anatomy and Physiology_Not Applicable</t>
  </si>
  <si>
    <t>D/508/4590 - Fitness Training and Programming</t>
  </si>
  <si>
    <t>L/508/4584 - Principles of Anatomy and Physiology_Not Yet Achieved</t>
  </si>
  <si>
    <t>Y/508/4622 - Sports Nutrition</t>
  </si>
  <si>
    <t>L/508/4584 - Principles of Anatomy and Physiology_Pass</t>
  </si>
  <si>
    <t>M/508/4593 - Technical and Tactical Skills in Sport</t>
  </si>
  <si>
    <t>L/508/4584 - Principles of Anatomy and Physiology_Merit</t>
  </si>
  <si>
    <t>T/508/4594 - The Athlete's Lifestyle</t>
  </si>
  <si>
    <t>L/508/4584 - Principles of Anatomy and Physiology_Distinction</t>
  </si>
  <si>
    <t>A/508/4595 - Current Issues in Sport</t>
  </si>
  <si>
    <t>T/508/4627 - Applied Exercise Physiology_</t>
  </si>
  <si>
    <t>F/508/4596 - Instructing Physical Activity and Exercise</t>
  </si>
  <si>
    <t>T/508/4627 - Applied Exercise Physiology_Not Applicable</t>
  </si>
  <si>
    <t>J/508/4597 - Sports Injuries</t>
  </si>
  <si>
    <t>T/508/4627 - Applied Exercise Physiology_Not Yet Achieved</t>
  </si>
  <si>
    <t>D/508/4122 - Sports Coaching</t>
  </si>
  <si>
    <t>T/508/4627 - Applied Exercise Physiology_Pass</t>
  </si>
  <si>
    <t>R/508/4599 - Leadership in Sport</t>
  </si>
  <si>
    <t>T/508/4627 - Applied Exercise Physiology_Merit</t>
  </si>
  <si>
    <t>A/508/4600 - Analysis of Sports Performance</t>
  </si>
  <si>
    <t>T/508/4627 - Applied Exercise Physiology_Distinction</t>
  </si>
  <si>
    <t>F/508/4601 - Ethics and Values in Sport</t>
  </si>
  <si>
    <t>M/508/4626 - Biomechanics_</t>
  </si>
  <si>
    <t>L/508/4603 - Sport and Exercise Massage</t>
  </si>
  <si>
    <t>M/508/4626 - Biomechanics_Not Applicable</t>
  </si>
  <si>
    <t>R/508/4604 - Organising Sports Events</t>
  </si>
  <si>
    <t>M/508/4626 - Biomechanics_Not Yet Achieved</t>
  </si>
  <si>
    <t>D/508/4606 - Applied Strength and Conditioning</t>
  </si>
  <si>
    <t>M/508/4626 - Biomechanics_Pass</t>
  </si>
  <si>
    <t>D/508/4623 - Personal and Professional Development</t>
  </si>
  <si>
    <t>M/508/4626 - Biomechanics_Merit</t>
  </si>
  <si>
    <t>Y/508/4586 - Work Experience in Sport</t>
  </si>
  <si>
    <t>M/508/4626 - Biomechanics_Distinction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</si>
  <si>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</si>
  <si>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</si>
  <si>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</si>
  <si>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</si>
  <si>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</si>
  <si>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</si>
  <si>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F/508/4632 - Laboratory and Field Based Experiment Methods_</t>
  </si>
  <si>
    <t>F/508/4632 - Laboratory and Field Based Experiment Methods_Not Applicable</t>
  </si>
  <si>
    <t>F/508/4632 - Laboratory and Field Based Experiment Methods_Not Yet Achieved</t>
  </si>
  <si>
    <t>F/508/4632 - Laboratory and Field Based Experiment Methods_Pass</t>
  </si>
  <si>
    <t>F/508/4632 - Laboratory and Field Based Experiment Methods_Merit</t>
  </si>
  <si>
    <t>F/508/4632 - Laboratory and Field Based Experiment Methods_Distinction</t>
  </si>
  <si>
    <t>Y/508/4605 - Research Project in Sport and Exercise Sciences_</t>
  </si>
  <si>
    <t>Y/508/4605 - Research Project in Sport and Exercise Sciences_Not Applicable</t>
  </si>
  <si>
    <t>Y/508/4605 - Research Project in Sport and Exercise Sciences_Not Yet Achieved</t>
  </si>
  <si>
    <t>Y/508/4605 - Research Project in Sport and Exercise Sciences_Pass</t>
  </si>
  <si>
    <t>Y/508/4605 - Research Project in Sport and Exercise Sciences_Merit</t>
  </si>
  <si>
    <t>Y/508/4605 - Research Project in Sport and Exercise Sciences_Distinction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</si>
  <si>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</si>
  <si>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</si>
  <si>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</si>
  <si>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</si>
  <si>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</si>
  <si>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</si>
  <si>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K/508/4625 - Applied Sports Psychology_</t>
  </si>
  <si>
    <t>K/508/4625 - Applied Sports Psychology_Not Applicable</t>
  </si>
  <si>
    <t>K/508/4625 - Applied Sports Psychology_Not Yet Achieved</t>
  </si>
  <si>
    <t>K/508/4625 - Applied Sports Psychology_Pass</t>
  </si>
  <si>
    <t>K/508/4625 - Applied Sports Psychology_Merit</t>
  </si>
  <si>
    <t>K/508/4625 - Applied Sports Psychology_Distinction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</si>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</sst>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H181"/>
  <sheetViews>
    <sheetView tabSelected="1" topLeftCell="A4" workbookViewId="0">
      <selection activeCell="E41" sqref="E41"/>
    </sheetView>
  </sheetViews>
  <sheetFormatPr defaultRowHeight="12"/>
  <cols>
    <col min="1" max="2" width="9.140625" style="1" customWidth="1"/>
    <col min="3" max="4" width="9.140625" style="1" hidden="1" customWidth="1"/>
    <col min="5" max="5" width="78.5703125" style="1" customWidth="1"/>
    <col min="6" max="6" width="13.7109375" style="1" customWidth="1"/>
    <col min="7" max="7" width="9.28515625" style="1" customWidth="1"/>
    <col min="8" max="10" width="9.140625" style="1" hidden="1" customWidth="1"/>
    <col min="11" max="49" width="9.140625" style="1" customWidth="1"/>
    <col min="50" max="56" width="9.140625" style="1" hidden="1" customWidth="1"/>
    <col min="57" max="99" width="9.140625" style="1" customWidth="1"/>
    <col min="100" max="108" width="9.140625" style="1" hidden="1" customWidth="1"/>
    <col min="109" max="119" width="9.140625" style="1" customWidth="1"/>
    <col min="120" max="124" width="9.140625" style="1" hidden="1" customWidth="1"/>
    <col min="125" max="139" width="9.140625" style="1" customWidth="1"/>
    <col min="140" max="140" width="9.140625" style="1" hidden="1" customWidth="1"/>
    <col min="141" max="141" width="9.140625" style="1" customWidth="1"/>
    <col min="142" max="142" width="9.140625" style="1" hidden="1" customWidth="1"/>
    <col min="143" max="159" width="9.140625" style="1" customWidth="1"/>
    <col min="160" max="164" width="9.140625" style="1" hidden="1" customWidth="1"/>
    <col min="165" max="165" width="9.140625" style="1" customWidth="1"/>
    <col min="166" max="16384" width="9.140625" style="1"/>
  </cols>
  <sheetData>
    <row r="1" spans="3:16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>
      <c r="AX2" s="1">
        <f>SUM(UMSGroup)</f>
        <v>0</v>
      </c>
      <c r="AY2" s="1">
        <f>SUM(UMSGroup)/1800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1" si="0">IF(VLOOKUP(CV2,UnitSelections,2,FALSE) ="Not Applicable",0,60)</f>
        <v>60</v>
      </c>
      <c r="CX2" s="1">
        <f t="shared" ref="CX2:CX31" si="1">SUM(CW2/TotalGHL)</f>
        <v>0.33333333333333331</v>
      </c>
      <c r="CY2" s="1">
        <f t="shared" ref="CY2:CY31" si="2">SUM(CX2*1800)</f>
        <v>600</v>
      </c>
      <c r="CZ2" s="1">
        <f t="shared" ref="CZ2:CZ31" si="3">SUM(0 % *CY2)</f>
        <v>0</v>
      </c>
      <c r="DA2" s="1">
        <f t="shared" ref="DA2:DA31" si="4">SUM(50 % *CY2)</f>
        <v>300</v>
      </c>
      <c r="DB2" s="1">
        <f t="shared" ref="DB2:DB31" si="5">SUM(60 % *CY2)</f>
        <v>360</v>
      </c>
      <c r="DC2" s="1">
        <f t="shared" ref="DC2:DC31" si="6">SUM(72.5 % *CY2)</f>
        <v>435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>
      <c r="CV3" s="1" t="s">
        <v>23</v>
      </c>
      <c r="CW3" s="1">
        <f t="shared" si="0"/>
        <v>60</v>
      </c>
      <c r="CX3" s="1">
        <f t="shared" si="1"/>
        <v>0.33333333333333331</v>
      </c>
      <c r="CY3" s="1">
        <f t="shared" si="2"/>
        <v>600</v>
      </c>
      <c r="CZ3" s="1">
        <f t="shared" si="3"/>
        <v>0</v>
      </c>
      <c r="DA3" s="1">
        <f t="shared" si="4"/>
        <v>300</v>
      </c>
      <c r="DB3" s="1">
        <f t="shared" si="5"/>
        <v>360</v>
      </c>
      <c r="DC3" s="1">
        <f t="shared" si="6"/>
        <v>435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>
      <c r="CV4" s="1" t="s">
        <v>25</v>
      </c>
      <c r="CW4" s="1">
        <f t="shared" si="0"/>
        <v>60</v>
      </c>
      <c r="CX4" s="1">
        <f t="shared" si="1"/>
        <v>0.33333333333333331</v>
      </c>
      <c r="CY4" s="1">
        <f t="shared" si="2"/>
        <v>600</v>
      </c>
      <c r="CZ4" s="1">
        <f t="shared" si="3"/>
        <v>0</v>
      </c>
      <c r="DA4" s="1">
        <f t="shared" si="4"/>
        <v>300</v>
      </c>
      <c r="DB4" s="1">
        <f t="shared" si="5"/>
        <v>360</v>
      </c>
      <c r="DC4" s="1">
        <f t="shared" si="6"/>
        <v>435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300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360</v>
      </c>
      <c r="DR6" s="1">
        <v>33.333333333333336</v>
      </c>
      <c r="DS6" s="1">
        <v>0</v>
      </c>
    </row>
    <row r="7" spans="3:163">
      <c r="E7" s="1" t="s">
        <v>33</v>
      </c>
      <c r="F7" s="2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435</v>
      </c>
      <c r="DR7" s="1">
        <v>33.333333333333336</v>
      </c>
      <c r="DS7" s="1">
        <v>0</v>
      </c>
    </row>
    <row r="8" spans="3:163">
      <c r="E8" s="1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300</v>
      </c>
      <c r="DR11" s="1">
        <v>33.333333333333336</v>
      </c>
      <c r="DS11" s="1">
        <v>0</v>
      </c>
    </row>
    <row r="12" spans="3:163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 t="shared" ref="H12:H41" si="7">VLOOKUP(E12 &amp; "_" &amp; F12, InternalAssessment, 2,FALSE)</f>
        <v>0</v>
      </c>
      <c r="I12" s="1">
        <f t="shared" ref="I12:I41" si="8">VLOOKUP(E12 &amp; "_" &amp; F12, InternalAssessment, 3,FALSE)</f>
        <v>0</v>
      </c>
      <c r="J12" s="1">
        <f t="shared" ref="J12:J41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360</v>
      </c>
      <c r="DR12" s="1">
        <v>33.333333333333336</v>
      </c>
      <c r="DS12" s="1">
        <v>0</v>
      </c>
    </row>
    <row r="13" spans="3:16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435</v>
      </c>
      <c r="DR13" s="1">
        <v>33.333333333333336</v>
      </c>
      <c r="DS13" s="1">
        <v>0</v>
      </c>
    </row>
    <row r="14" spans="3:163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VLOOKUP("L/508/4584 - Principles of Anatomy and Physiology",RawScores,5,FALSE)</f>
        <v>0</v>
      </c>
      <c r="DR16" s="1">
        <v>0</v>
      </c>
      <c r="DS16" s="1">
        <v>1</v>
      </c>
    </row>
    <row r="17" spans="3:123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VLOOKUP("L/508/4584 - Principles of Anatomy and Physiology",RawScores,6,FALSE)</f>
        <v>300</v>
      </c>
      <c r="DR17" s="1">
        <v>33.333333333333336</v>
      </c>
      <c r="DS17" s="1">
        <v>0</v>
      </c>
    </row>
    <row r="18" spans="3:123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VLOOKUP("L/508/4584 - Principles of Anatomy and Physiology",RawScores,7,FALSE)</f>
        <v>360</v>
      </c>
      <c r="DR18" s="1">
        <v>33.333333333333336</v>
      </c>
      <c r="DS18" s="1">
        <v>0</v>
      </c>
    </row>
    <row r="19" spans="3:123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VLOOKUP("L/508/4584 - Principles of Anatomy and Physiology",RawScores,8,FALSE)</f>
        <v>435</v>
      </c>
      <c r="DR19" s="1">
        <v>33.333333333333336</v>
      </c>
      <c r="DS19" s="1">
        <v>0</v>
      </c>
    </row>
    <row r="20" spans="3:123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VLOOKUP("T/508/4627 - Applied Exercise Physiology",RawScores,5,FALSE)</f>
        <v>0</v>
      </c>
      <c r="DR22" s="1">
        <v>0</v>
      </c>
      <c r="DS22" s="1">
        <v>1</v>
      </c>
    </row>
    <row r="23" spans="3:1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VLOOKUP("T/508/4627 - Applied Exercise Physiology",RawScores,6,FALSE)</f>
        <v>0</v>
      </c>
      <c r="DR23" s="1">
        <v>6.666666666666667</v>
      </c>
      <c r="DS23" s="1">
        <v>0</v>
      </c>
    </row>
    <row r="24" spans="3:123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VLOOKUP("T/508/4627 - Applied Exercise Physiology",RawScores,7,FALSE)</f>
        <v>0</v>
      </c>
      <c r="DR24" s="1">
        <v>6.666666666666667</v>
      </c>
      <c r="DS24" s="1">
        <v>0</v>
      </c>
    </row>
    <row r="25" spans="3:123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VLOOKUP("T/508/4627 - Applied Exercise Physiology",RawScores,8,FALSE)</f>
        <v>0</v>
      </c>
      <c r="DR25" s="1">
        <v>6.666666666666667</v>
      </c>
      <c r="DS25" s="1">
        <v>0</v>
      </c>
    </row>
    <row r="26" spans="3:123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VLOOKUP("M/508/4626 - Biomechanics",RawScores,5,FALSE)</f>
        <v>0</v>
      </c>
      <c r="DR28" s="1">
        <v>0</v>
      </c>
      <c r="DS28" s="1">
        <v>1</v>
      </c>
    </row>
    <row r="29" spans="3:123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VLOOKUP("M/508/4626 - Biomechanics",RawScores,6,FALSE)</f>
        <v>0</v>
      </c>
      <c r="DR29" s="1">
        <v>6.666666666666667</v>
      </c>
      <c r="DS29" s="1">
        <v>0</v>
      </c>
    </row>
    <row r="30" spans="3:123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0</v>
      </c>
      <c r="CX30" s="1">
        <f t="shared" si="1"/>
        <v>0</v>
      </c>
      <c r="CY30" s="1">
        <f t="shared" si="2"/>
        <v>0</v>
      </c>
      <c r="CZ30" s="1">
        <f t="shared" si="3"/>
        <v>0</v>
      </c>
      <c r="DA30" s="1">
        <f t="shared" si="4"/>
        <v>0</v>
      </c>
      <c r="DB30" s="1">
        <f t="shared" si="5"/>
        <v>0</v>
      </c>
      <c r="DC30" s="1">
        <f t="shared" si="6"/>
        <v>0</v>
      </c>
      <c r="DP30" s="1" t="s">
        <v>89</v>
      </c>
      <c r="DQ30" s="1">
        <f>VLOOKUP("M/508/4626 - Biomechanics",RawScores,7,FALSE)</f>
        <v>0</v>
      </c>
      <c r="DR30" s="1">
        <v>6.666666666666667</v>
      </c>
      <c r="DS30" s="1">
        <v>0</v>
      </c>
    </row>
    <row r="31" spans="3:123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0</v>
      </c>
      <c r="CX31" s="1">
        <f t="shared" si="1"/>
        <v>0</v>
      </c>
      <c r="CY31" s="1">
        <f t="shared" si="2"/>
        <v>0</v>
      </c>
      <c r="CZ31" s="1">
        <f t="shared" si="3"/>
        <v>0</v>
      </c>
      <c r="DA31" s="1">
        <f t="shared" si="4"/>
        <v>0</v>
      </c>
      <c r="DB31" s="1">
        <f t="shared" si="5"/>
        <v>0</v>
      </c>
      <c r="DC31" s="1">
        <f t="shared" si="6"/>
        <v>0</v>
      </c>
      <c r="DP31" s="1" t="s">
        <v>91</v>
      </c>
      <c r="DQ31" s="1">
        <f>VLOOKUP("M/508/4626 - Biomechanics",RawScores,8,FALSE)</f>
        <v>0</v>
      </c>
      <c r="DR31" s="1">
        <v>6.666666666666667</v>
      </c>
      <c r="DS31" s="1">
        <v>0</v>
      </c>
    </row>
    <row r="32" spans="3:123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W32" s="1">
        <f>SUM(CW2:CW31)</f>
        <v>180</v>
      </c>
      <c r="DP32" s="1" t="s">
        <v>92</v>
      </c>
      <c r="DQ32" s="1">
        <v>0</v>
      </c>
      <c r="DR32" s="1">
        <v>0</v>
      </c>
      <c r="DS32" s="1">
        <v>0</v>
      </c>
    </row>
    <row r="33" spans="3:12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DP33" s="1" t="s">
        <v>93</v>
      </c>
      <c r="DQ33" s="1">
        <v>0</v>
      </c>
      <c r="DR33" s="1">
        <v>0</v>
      </c>
      <c r="DS33" s="1">
        <v>0</v>
      </c>
    </row>
    <row r="34" spans="3:123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94</v>
      </c>
      <c r="DQ34" s="1">
        <f>VLOOKUP("H/508/4591 - Fitness Testing for Sport and Exercise",RawScores,5,FALSE)</f>
        <v>0</v>
      </c>
      <c r="DR34" s="1">
        <v>0</v>
      </c>
      <c r="DS34" s="1">
        <v>1</v>
      </c>
    </row>
    <row r="35" spans="3:123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95</v>
      </c>
      <c r="DQ35" s="1">
        <f>VLOOKUP("H/508/4591 - Fitness Testing for Sport and Exercise",RawScores,6,FALSE)</f>
        <v>0</v>
      </c>
      <c r="DR35" s="1">
        <v>6.666666666666667</v>
      </c>
      <c r="DS35" s="1">
        <v>0</v>
      </c>
    </row>
    <row r="36" spans="3:123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96</v>
      </c>
      <c r="DQ36" s="1">
        <f>VLOOKUP("H/508/4591 - Fitness Testing for Sport and Exercise",RawScores,7,FALSE)</f>
        <v>0</v>
      </c>
      <c r="DR36" s="1">
        <v>6.666666666666667</v>
      </c>
      <c r="DS36" s="1">
        <v>0</v>
      </c>
    </row>
    <row r="37" spans="3:123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97</v>
      </c>
      <c r="DQ37" s="1">
        <f>VLOOKUP("H/508/4591 - Fitness Testing for Sport and Exercise",RawScores,8,FALSE)</f>
        <v>0</v>
      </c>
      <c r="DR37" s="1">
        <v>6.666666666666667</v>
      </c>
      <c r="DS37" s="1">
        <v>0</v>
      </c>
    </row>
    <row r="38" spans="3:123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98</v>
      </c>
      <c r="DQ38" s="1">
        <v>0</v>
      </c>
      <c r="DR38" s="1">
        <v>0</v>
      </c>
      <c r="DS38" s="1">
        <v>0</v>
      </c>
    </row>
    <row r="39" spans="3:123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99</v>
      </c>
      <c r="DQ39" s="1">
        <v>0</v>
      </c>
      <c r="DR39" s="1">
        <v>0</v>
      </c>
      <c r="DS39" s="1">
        <v>0</v>
      </c>
    </row>
    <row r="40" spans="3:123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0</v>
      </c>
      <c r="DP40" s="1" t="s">
        <v>100</v>
      </c>
      <c r="DQ40" s="1">
        <f>VLOOKUP("F/508/4632 - Laboratory and Field Based Experiment Methods",RawScores,5,FALSE)</f>
        <v>0</v>
      </c>
      <c r="DR40" s="1">
        <v>0</v>
      </c>
      <c r="DS40" s="1">
        <v>1</v>
      </c>
    </row>
    <row r="41" spans="3:123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 t="shared" si="7"/>
        <v>0</v>
      </c>
      <c r="I41" s="1">
        <f t="shared" si="8"/>
        <v>0</v>
      </c>
      <c r="J41" s="1">
        <f t="shared" si="9"/>
        <v>0</v>
      </c>
      <c r="DP41" s="1" t="s">
        <v>101</v>
      </c>
      <c r="DQ41" s="1">
        <f>VLOOKUP("F/508/4632 - Laboratory and Field Based Experiment Methods",RawScores,6,FALSE)</f>
        <v>0</v>
      </c>
      <c r="DR41" s="1">
        <v>6.666666666666667</v>
      </c>
      <c r="DS41" s="1">
        <v>0</v>
      </c>
    </row>
    <row r="42" spans="3:123">
      <c r="DP42" s="1" t="s">
        <v>102</v>
      </c>
      <c r="DQ42" s="1">
        <f>VLOOKUP("F/508/4632 - Laboratory and Field Based Experiment Methods",RawScores,7,FALSE)</f>
        <v>0</v>
      </c>
      <c r="DR42" s="1">
        <v>6.666666666666667</v>
      </c>
      <c r="DS42" s="1">
        <v>0</v>
      </c>
    </row>
    <row r="43" spans="3:123">
      <c r="DP43" s="1" t="s">
        <v>103</v>
      </c>
      <c r="DQ43" s="1">
        <f>VLOOKUP("F/508/4632 - Laboratory and Field Based Experiment Methods",RawScores,8,FALSE)</f>
        <v>0</v>
      </c>
      <c r="DR43" s="1">
        <v>6.666666666666667</v>
      </c>
      <c r="DS43" s="1">
        <v>0</v>
      </c>
    </row>
    <row r="44" spans="3:123">
      <c r="DP44" s="1" t="s">
        <v>104</v>
      </c>
      <c r="DQ44" s="1">
        <v>0</v>
      </c>
      <c r="DR44" s="1">
        <v>0</v>
      </c>
      <c r="DS44" s="1">
        <v>0</v>
      </c>
    </row>
    <row r="45" spans="3:123">
      <c r="DP45" s="1" t="s">
        <v>105</v>
      </c>
      <c r="DQ45" s="1">
        <v>0</v>
      </c>
      <c r="DR45" s="1">
        <v>0</v>
      </c>
      <c r="DS45" s="1">
        <v>0</v>
      </c>
    </row>
    <row r="46" spans="3:123">
      <c r="DP46" s="1" t="s">
        <v>106</v>
      </c>
      <c r="DQ46" s="1">
        <f>VLOOKUP("Y/508/4605 - Research Project in Sport and Exercise Sciences",RawScores,5,FALSE)</f>
        <v>0</v>
      </c>
      <c r="DR46" s="1">
        <v>0</v>
      </c>
      <c r="DS46" s="1">
        <v>1</v>
      </c>
    </row>
    <row r="47" spans="3:123">
      <c r="DP47" s="1" t="s">
        <v>107</v>
      </c>
      <c r="DQ47" s="1">
        <f>VLOOKUP("Y/508/4605 - Research Project in Sport and Exercise Sciences",RawScores,6,FALSE)</f>
        <v>0</v>
      </c>
      <c r="DR47" s="1">
        <v>6.666666666666667</v>
      </c>
      <c r="DS47" s="1">
        <v>0</v>
      </c>
    </row>
    <row r="48" spans="3:123">
      <c r="DP48" s="1" t="s">
        <v>108</v>
      </c>
      <c r="DQ48" s="1">
        <f>VLOOKUP("Y/508/4605 - Research Project in Sport and Exercise Sciences",RawScores,7,FALSE)</f>
        <v>0</v>
      </c>
      <c r="DR48" s="1">
        <v>6.666666666666667</v>
      </c>
      <c r="DS48" s="1">
        <v>0</v>
      </c>
    </row>
    <row r="49" spans="120:123">
      <c r="DP49" s="1" t="s">
        <v>109</v>
      </c>
      <c r="DQ49" s="1">
        <f>VLOOKUP("Y/508/4605 - Research Project in Sport and Exercise Sciences",RawScores,8,FALSE)</f>
        <v>0</v>
      </c>
      <c r="DR49" s="1">
        <v>6.666666666666667</v>
      </c>
      <c r="DS49" s="1">
        <v>0</v>
      </c>
    </row>
    <row r="50" spans="120:123">
      <c r="DP50" s="1" t="s">
        <v>110</v>
      </c>
      <c r="DQ50" s="1">
        <v>0</v>
      </c>
      <c r="DR50" s="1">
        <v>0</v>
      </c>
      <c r="DS50" s="1">
        <v>0</v>
      </c>
    </row>
    <row r="51" spans="120:123">
      <c r="DP51" s="1" t="s">
        <v>111</v>
      </c>
      <c r="DQ51" s="1">
        <v>0</v>
      </c>
      <c r="DR51" s="1">
        <v>0</v>
      </c>
      <c r="DS51" s="1">
        <v>0</v>
      </c>
    </row>
    <row r="52" spans="120:123">
      <c r="DP52" s="1" t="s">
        <v>112</v>
      </c>
      <c r="DQ52" s="1">
        <f>VLOOKUP("K/508/4592 - Psychology for Sports Performance",RawScores,5,FALSE)</f>
        <v>0</v>
      </c>
      <c r="DR52" s="1">
        <v>0</v>
      </c>
      <c r="DS52" s="1">
        <v>1</v>
      </c>
    </row>
    <row r="53" spans="120:123">
      <c r="DP53" s="1" t="s">
        <v>113</v>
      </c>
      <c r="DQ53" s="1">
        <f>VLOOKUP("K/508/4592 - Psychology for Sports Performance",RawScores,6,FALSE)</f>
        <v>0</v>
      </c>
      <c r="DR53" s="1">
        <v>6.666666666666667</v>
      </c>
      <c r="DS53" s="1">
        <v>0</v>
      </c>
    </row>
    <row r="54" spans="120:123">
      <c r="DP54" s="1" t="s">
        <v>114</v>
      </c>
      <c r="DQ54" s="1">
        <f>VLOOKUP("K/508/4592 - Psychology for Sports Performance",RawScores,7,FALSE)</f>
        <v>0</v>
      </c>
      <c r="DR54" s="1">
        <v>6.666666666666667</v>
      </c>
      <c r="DS54" s="1">
        <v>0</v>
      </c>
    </row>
    <row r="55" spans="120:123">
      <c r="DP55" s="1" t="s">
        <v>115</v>
      </c>
      <c r="DQ55" s="1">
        <f>VLOOKUP("K/508/4592 - Psychology for Sports Performance",RawScores,8,FALSE)</f>
        <v>0</v>
      </c>
      <c r="DR55" s="1">
        <v>6.666666666666667</v>
      </c>
      <c r="DS55" s="1">
        <v>0</v>
      </c>
    </row>
    <row r="56" spans="120:123">
      <c r="DP56" s="1" t="s">
        <v>116</v>
      </c>
      <c r="DQ56" s="1">
        <v>0</v>
      </c>
      <c r="DR56" s="1">
        <v>0</v>
      </c>
      <c r="DS56" s="1">
        <v>0</v>
      </c>
    </row>
    <row r="57" spans="120:123">
      <c r="DP57" s="1" t="s">
        <v>117</v>
      </c>
      <c r="DQ57" s="1">
        <v>0</v>
      </c>
      <c r="DR57" s="1">
        <v>0</v>
      </c>
      <c r="DS57" s="1">
        <v>0</v>
      </c>
    </row>
    <row r="58" spans="120:123">
      <c r="DP58" s="1" t="s">
        <v>118</v>
      </c>
      <c r="DQ58" s="1">
        <f>VLOOKUP("K/508/4625 - Applied Sports Psychology",RawScores,5,FALSE)</f>
        <v>0</v>
      </c>
      <c r="DR58" s="1">
        <v>0</v>
      </c>
      <c r="DS58" s="1">
        <v>1</v>
      </c>
    </row>
    <row r="59" spans="120:123">
      <c r="DP59" s="1" t="s">
        <v>119</v>
      </c>
      <c r="DQ59" s="1">
        <f>VLOOKUP("K/508/4625 - Applied Sports Psychology",RawScores,6,FALSE)</f>
        <v>0</v>
      </c>
      <c r="DR59" s="1">
        <v>6.666666666666667</v>
      </c>
      <c r="DS59" s="1">
        <v>0</v>
      </c>
    </row>
    <row r="60" spans="120:123">
      <c r="DP60" s="1" t="s">
        <v>120</v>
      </c>
      <c r="DQ60" s="1">
        <f>VLOOKUP("K/508/4625 - Applied Sports Psychology",RawScores,7,FALSE)</f>
        <v>0</v>
      </c>
      <c r="DR60" s="1">
        <v>6.666666666666667</v>
      </c>
      <c r="DS60" s="1">
        <v>0</v>
      </c>
    </row>
    <row r="61" spans="120:123">
      <c r="DP61" s="1" t="s">
        <v>121</v>
      </c>
      <c r="DQ61" s="1">
        <f>VLOOKUP("K/508/4625 - Applied Sports Psychology",RawScores,8,FALSE)</f>
        <v>0</v>
      </c>
      <c r="DR61" s="1">
        <v>6.666666666666667</v>
      </c>
      <c r="DS61" s="1">
        <v>0</v>
      </c>
    </row>
    <row r="62" spans="120:123">
      <c r="DP62" s="1" t="s">
        <v>122</v>
      </c>
      <c r="DQ62" s="1">
        <v>0</v>
      </c>
      <c r="DR62" s="1">
        <v>0</v>
      </c>
      <c r="DS62" s="1">
        <v>0</v>
      </c>
    </row>
    <row r="63" spans="120:123">
      <c r="DP63" s="1" t="s">
        <v>123</v>
      </c>
      <c r="DQ63" s="1">
        <v>0</v>
      </c>
      <c r="DR63" s="1">
        <v>0</v>
      </c>
      <c r="DS63" s="1">
        <v>0</v>
      </c>
    </row>
    <row r="64" spans="120:123">
      <c r="DP64" s="1" t="s">
        <v>124</v>
      </c>
      <c r="DQ64" s="1">
        <f>VLOOKUP("D/508/4587 - Practical Team Sports",RawScores,5,FALSE)</f>
        <v>0</v>
      </c>
      <c r="DR64" s="1">
        <v>0</v>
      </c>
      <c r="DS64" s="1">
        <v>1</v>
      </c>
    </row>
    <row r="65" spans="120:123">
      <c r="DP65" s="1" t="s">
        <v>125</v>
      </c>
      <c r="DQ65" s="1">
        <f>VLOOKUP("D/508/4587 - Practical Team Sports",RawScores,6,FALSE)</f>
        <v>0</v>
      </c>
      <c r="DR65" s="1">
        <v>6.666666666666667</v>
      </c>
      <c r="DS65" s="1">
        <v>0</v>
      </c>
    </row>
    <row r="66" spans="120:123">
      <c r="DP66" s="1" t="s">
        <v>126</v>
      </c>
      <c r="DQ66" s="1">
        <f>VLOOKUP("D/508/4587 - Practical Team Sports",RawScores,7,FALSE)</f>
        <v>0</v>
      </c>
      <c r="DR66" s="1">
        <v>6.666666666666667</v>
      </c>
      <c r="DS66" s="1">
        <v>0</v>
      </c>
    </row>
    <row r="67" spans="120:123">
      <c r="DP67" s="1" t="s">
        <v>127</v>
      </c>
      <c r="DQ67" s="1">
        <f>VLOOKUP("D/508/4587 - Practical Team Sports",RawScores,8,FALSE)</f>
        <v>0</v>
      </c>
      <c r="DR67" s="1">
        <v>6.666666666666667</v>
      </c>
      <c r="DS67" s="1">
        <v>0</v>
      </c>
    </row>
    <row r="68" spans="120:123">
      <c r="DP68" s="1" t="s">
        <v>128</v>
      </c>
      <c r="DQ68" s="1">
        <v>0</v>
      </c>
      <c r="DR68" s="1">
        <v>0</v>
      </c>
      <c r="DS68" s="1">
        <v>0</v>
      </c>
    </row>
    <row r="69" spans="120:123">
      <c r="DP69" s="1" t="s">
        <v>129</v>
      </c>
      <c r="DQ69" s="1">
        <v>0</v>
      </c>
      <c r="DR69" s="1">
        <v>0</v>
      </c>
      <c r="DS69" s="1">
        <v>0</v>
      </c>
    </row>
    <row r="70" spans="120:123">
      <c r="DP70" s="1" t="s">
        <v>130</v>
      </c>
      <c r="DQ70" s="1">
        <f>VLOOKUP("H/508/4588 - Practical Individual Sports",RawScores,5,FALSE)</f>
        <v>0</v>
      </c>
      <c r="DR70" s="1">
        <v>0</v>
      </c>
      <c r="DS70" s="1">
        <v>1</v>
      </c>
    </row>
    <row r="71" spans="120:123">
      <c r="DP71" s="1" t="s">
        <v>131</v>
      </c>
      <c r="DQ71" s="1">
        <f>VLOOKUP("H/508/4588 - Practical Individual Sports",RawScores,6,FALSE)</f>
        <v>0</v>
      </c>
      <c r="DR71" s="1">
        <v>6.666666666666667</v>
      </c>
      <c r="DS71" s="1">
        <v>0</v>
      </c>
    </row>
    <row r="72" spans="120:123">
      <c r="DP72" s="1" t="s">
        <v>132</v>
      </c>
      <c r="DQ72" s="1">
        <f>VLOOKUP("H/508/4588 - Practical Individual Sports",RawScores,7,FALSE)</f>
        <v>0</v>
      </c>
      <c r="DR72" s="1">
        <v>6.666666666666667</v>
      </c>
      <c r="DS72" s="1">
        <v>0</v>
      </c>
    </row>
    <row r="73" spans="120:123">
      <c r="DP73" s="1" t="s">
        <v>133</v>
      </c>
      <c r="DQ73" s="1">
        <f>VLOOKUP("H/508/4588 - Practical Individual Sports",RawScores,8,FALSE)</f>
        <v>0</v>
      </c>
      <c r="DR73" s="1">
        <v>6.666666666666667</v>
      </c>
      <c r="DS73" s="1">
        <v>0</v>
      </c>
    </row>
    <row r="74" spans="120:123">
      <c r="DP74" s="1" t="s">
        <v>134</v>
      </c>
      <c r="DQ74" s="1">
        <v>0</v>
      </c>
      <c r="DR74" s="1">
        <v>0</v>
      </c>
      <c r="DS74" s="1">
        <v>0</v>
      </c>
    </row>
    <row r="75" spans="120:123">
      <c r="DP75" s="1" t="s">
        <v>135</v>
      </c>
      <c r="DQ75" s="1">
        <v>0</v>
      </c>
      <c r="DR75" s="1">
        <v>0</v>
      </c>
      <c r="DS75" s="1">
        <v>0</v>
      </c>
    </row>
    <row r="76" spans="120:123">
      <c r="DP76" s="1" t="s">
        <v>136</v>
      </c>
      <c r="DQ76" s="1">
        <f>VLOOKUP("K/508/4589 - The Physiology of Fitness",RawScores,5,FALSE)</f>
        <v>0</v>
      </c>
      <c r="DR76" s="1">
        <v>0</v>
      </c>
      <c r="DS76" s="1">
        <v>1</v>
      </c>
    </row>
    <row r="77" spans="120:123">
      <c r="DP77" s="1" t="s">
        <v>137</v>
      </c>
      <c r="DQ77" s="1">
        <f>VLOOKUP("K/508/4589 - The Physiology of Fitness",RawScores,6,FALSE)</f>
        <v>0</v>
      </c>
      <c r="DR77" s="1">
        <v>6.666666666666667</v>
      </c>
      <c r="DS77" s="1">
        <v>0</v>
      </c>
    </row>
    <row r="78" spans="120:123">
      <c r="DP78" s="1" t="s">
        <v>138</v>
      </c>
      <c r="DQ78" s="1">
        <f>VLOOKUP("K/508/4589 - The Physiology of Fitness",RawScores,7,FALSE)</f>
        <v>0</v>
      </c>
      <c r="DR78" s="1">
        <v>6.666666666666667</v>
      </c>
      <c r="DS78" s="1">
        <v>0</v>
      </c>
    </row>
    <row r="79" spans="120:123">
      <c r="DP79" s="1" t="s">
        <v>139</v>
      </c>
      <c r="DQ79" s="1">
        <f>VLOOKUP("K/508/4589 - The Physiology of Fitness",RawScores,8,FALSE)</f>
        <v>0</v>
      </c>
      <c r="DR79" s="1">
        <v>6.666666666666667</v>
      </c>
      <c r="DS79" s="1">
        <v>0</v>
      </c>
    </row>
    <row r="80" spans="120:123">
      <c r="DP80" s="1" t="s">
        <v>140</v>
      </c>
      <c r="DQ80" s="1">
        <v>0</v>
      </c>
      <c r="DR80" s="1">
        <v>0</v>
      </c>
      <c r="DS80" s="1">
        <v>0</v>
      </c>
    </row>
    <row r="81" spans="120:123">
      <c r="DP81" s="1" t="s">
        <v>141</v>
      </c>
      <c r="DQ81" s="1">
        <v>0</v>
      </c>
      <c r="DR81" s="1">
        <v>0</v>
      </c>
      <c r="DS81" s="1">
        <v>0</v>
      </c>
    </row>
    <row r="82" spans="120:123">
      <c r="DP82" s="1" t="s">
        <v>142</v>
      </c>
      <c r="DQ82" s="1">
        <f>VLOOKUP("F/508/4582 - Assessing Risk in Sport",RawScores,5,FALSE)</f>
        <v>0</v>
      </c>
      <c r="DR82" s="1">
        <v>0</v>
      </c>
      <c r="DS82" s="1">
        <v>1</v>
      </c>
    </row>
    <row r="83" spans="120:123">
      <c r="DP83" s="1" t="s">
        <v>143</v>
      </c>
      <c r="DQ83" s="1">
        <f>VLOOKUP("F/508/4582 - Assessing Risk in Sport",RawScores,6,FALSE)</f>
        <v>0</v>
      </c>
      <c r="DR83" s="1">
        <v>6.666666666666667</v>
      </c>
      <c r="DS83" s="1">
        <v>0</v>
      </c>
    </row>
    <row r="84" spans="120:123">
      <c r="DP84" s="1" t="s">
        <v>144</v>
      </c>
      <c r="DQ84" s="1">
        <f>VLOOKUP("F/508/4582 - Assessing Risk in Sport",RawScores,7,FALSE)</f>
        <v>0</v>
      </c>
      <c r="DR84" s="1">
        <v>6.666666666666667</v>
      </c>
      <c r="DS84" s="1">
        <v>0</v>
      </c>
    </row>
    <row r="85" spans="120:123">
      <c r="DP85" s="1" t="s">
        <v>145</v>
      </c>
      <c r="DQ85" s="1">
        <f>VLOOKUP("F/508/4582 - Assessing Risk in Sport",RawScores,8,FALSE)</f>
        <v>0</v>
      </c>
      <c r="DR85" s="1">
        <v>6.666666666666667</v>
      </c>
      <c r="DS85" s="1">
        <v>0</v>
      </c>
    </row>
    <row r="86" spans="120:123">
      <c r="DP86" s="1" t="s">
        <v>146</v>
      </c>
      <c r="DQ86" s="1">
        <v>0</v>
      </c>
      <c r="DR86" s="1">
        <v>0</v>
      </c>
      <c r="DS86" s="1">
        <v>0</v>
      </c>
    </row>
    <row r="87" spans="120:123">
      <c r="DP87" s="1" t="s">
        <v>147</v>
      </c>
      <c r="DQ87" s="1">
        <v>0</v>
      </c>
      <c r="DR87" s="1">
        <v>0</v>
      </c>
      <c r="DS87" s="1">
        <v>0</v>
      </c>
    </row>
    <row r="88" spans="120:123">
      <c r="DP88" s="1" t="s">
        <v>148</v>
      </c>
      <c r="DQ88" s="1">
        <f>VLOOKUP("D/508/4590 - Fitness Training and Programming",RawScores,5,FALSE)</f>
        <v>0</v>
      </c>
      <c r="DR88" s="1">
        <v>0</v>
      </c>
      <c r="DS88" s="1">
        <v>1</v>
      </c>
    </row>
    <row r="89" spans="120:123">
      <c r="DP89" s="1" t="s">
        <v>149</v>
      </c>
      <c r="DQ89" s="1">
        <f>VLOOKUP("D/508/4590 - Fitness Training and Programming",RawScores,6,FALSE)</f>
        <v>0</v>
      </c>
      <c r="DR89" s="1">
        <v>6.666666666666667</v>
      </c>
      <c r="DS89" s="1">
        <v>0</v>
      </c>
    </row>
    <row r="90" spans="120:123">
      <c r="DP90" s="1" t="s">
        <v>150</v>
      </c>
      <c r="DQ90" s="1">
        <f>VLOOKUP("D/508/4590 - Fitness Training and Programming",RawScores,7,FALSE)</f>
        <v>0</v>
      </c>
      <c r="DR90" s="1">
        <v>6.666666666666667</v>
      </c>
      <c r="DS90" s="1">
        <v>0</v>
      </c>
    </row>
    <row r="91" spans="120:123">
      <c r="DP91" s="1" t="s">
        <v>151</v>
      </c>
      <c r="DQ91" s="1">
        <f>VLOOKUP("D/508/4590 - Fitness Training and Programming",RawScores,8,FALSE)</f>
        <v>0</v>
      </c>
      <c r="DR91" s="1">
        <v>6.666666666666667</v>
      </c>
      <c r="DS91" s="1">
        <v>0</v>
      </c>
    </row>
    <row r="92" spans="120:123">
      <c r="DP92" s="1" t="s">
        <v>152</v>
      </c>
      <c r="DQ92" s="1">
        <v>0</v>
      </c>
      <c r="DR92" s="1">
        <v>0</v>
      </c>
      <c r="DS92" s="1">
        <v>0</v>
      </c>
    </row>
    <row r="93" spans="120:123">
      <c r="DP93" s="1" t="s">
        <v>153</v>
      </c>
      <c r="DQ93" s="1">
        <v>0</v>
      </c>
      <c r="DR93" s="1">
        <v>0</v>
      </c>
      <c r="DS93" s="1">
        <v>0</v>
      </c>
    </row>
    <row r="94" spans="120:123">
      <c r="DP94" s="1" t="s">
        <v>154</v>
      </c>
      <c r="DQ94" s="1">
        <f>VLOOKUP("Y/508/4622 - Sports Nutrition",RawScores,5,FALSE)</f>
        <v>0</v>
      </c>
      <c r="DR94" s="1">
        <v>0</v>
      </c>
      <c r="DS94" s="1">
        <v>1</v>
      </c>
    </row>
    <row r="95" spans="120:123">
      <c r="DP95" s="1" t="s">
        <v>155</v>
      </c>
      <c r="DQ95" s="1">
        <f>VLOOKUP("Y/508/4622 - Sports Nutrition",RawScores,6,FALSE)</f>
        <v>0</v>
      </c>
      <c r="DR95" s="1">
        <v>6.666666666666667</v>
      </c>
      <c r="DS95" s="1">
        <v>0</v>
      </c>
    </row>
    <row r="96" spans="120:123">
      <c r="DP96" s="1" t="s">
        <v>156</v>
      </c>
      <c r="DQ96" s="1">
        <f>VLOOKUP("Y/508/4622 - Sports Nutrition",RawScores,7,FALSE)</f>
        <v>0</v>
      </c>
      <c r="DR96" s="1">
        <v>6.666666666666667</v>
      </c>
      <c r="DS96" s="1">
        <v>0</v>
      </c>
    </row>
    <row r="97" spans="120:123">
      <c r="DP97" s="1" t="s">
        <v>157</v>
      </c>
      <c r="DQ97" s="1">
        <f>VLOOKUP("Y/508/4622 - Sports Nutrition",RawScores,8,FALSE)</f>
        <v>0</v>
      </c>
      <c r="DR97" s="1">
        <v>6.666666666666667</v>
      </c>
      <c r="DS97" s="1">
        <v>0</v>
      </c>
    </row>
    <row r="98" spans="120:123">
      <c r="DP98" s="1" t="s">
        <v>158</v>
      </c>
      <c r="DQ98" s="1">
        <v>0</v>
      </c>
      <c r="DR98" s="1">
        <v>0</v>
      </c>
      <c r="DS98" s="1">
        <v>0</v>
      </c>
    </row>
    <row r="99" spans="120:123">
      <c r="DP99" s="1" t="s">
        <v>159</v>
      </c>
      <c r="DQ99" s="1">
        <v>0</v>
      </c>
      <c r="DR99" s="1">
        <v>0</v>
      </c>
      <c r="DS99" s="1">
        <v>0</v>
      </c>
    </row>
    <row r="100" spans="120:123">
      <c r="DP100" s="1" t="s">
        <v>160</v>
      </c>
      <c r="DQ100" s="1">
        <f>VLOOKUP("M/508/4593 - Technical and Tactical Skills in Sport",RawScores,5,FALSE)</f>
        <v>0</v>
      </c>
      <c r="DR100" s="1">
        <v>0</v>
      </c>
      <c r="DS100" s="1">
        <v>1</v>
      </c>
    </row>
    <row r="101" spans="120:123">
      <c r="DP101" s="1" t="s">
        <v>161</v>
      </c>
      <c r="DQ101" s="1">
        <f>VLOOKUP("M/508/4593 - Technical and Tactical Skills in Sport",RawScores,6,FALSE)</f>
        <v>0</v>
      </c>
      <c r="DR101" s="1">
        <v>6.666666666666667</v>
      </c>
      <c r="DS101" s="1">
        <v>0</v>
      </c>
    </row>
    <row r="102" spans="120:123">
      <c r="DP102" s="1" t="s">
        <v>162</v>
      </c>
      <c r="DQ102" s="1">
        <f>VLOOKUP("M/508/4593 - Technical and Tactical Skills in Sport",RawScores,7,FALSE)</f>
        <v>0</v>
      </c>
      <c r="DR102" s="1">
        <v>6.666666666666667</v>
      </c>
      <c r="DS102" s="1">
        <v>0</v>
      </c>
    </row>
    <row r="103" spans="120:123">
      <c r="DP103" s="1" t="s">
        <v>163</v>
      </c>
      <c r="DQ103" s="1">
        <f>VLOOKUP("M/508/4593 - Technical and Tactical Skills in Sport",RawScores,8,FALSE)</f>
        <v>0</v>
      </c>
      <c r="DR103" s="1">
        <v>6.666666666666667</v>
      </c>
      <c r="DS103" s="1">
        <v>0</v>
      </c>
    </row>
    <row r="104" spans="120:123">
      <c r="DP104" s="1" t="s">
        <v>164</v>
      </c>
      <c r="DQ104" s="1">
        <v>0</v>
      </c>
      <c r="DR104" s="1">
        <v>0</v>
      </c>
      <c r="DS104" s="1">
        <v>0</v>
      </c>
    </row>
    <row r="105" spans="120:123">
      <c r="DP105" s="1" t="s">
        <v>165</v>
      </c>
      <c r="DQ105" s="1">
        <v>0</v>
      </c>
      <c r="DR105" s="1">
        <v>0</v>
      </c>
      <c r="DS105" s="1">
        <v>0</v>
      </c>
    </row>
    <row r="106" spans="120:123">
      <c r="DP106" s="1" t="s">
        <v>166</v>
      </c>
      <c r="DQ106" s="1">
        <f>VLOOKUP("T/508/4594 - The Athlete's Lifestyle",RawScores,5,FALSE)</f>
        <v>0</v>
      </c>
      <c r="DR106" s="1">
        <v>0</v>
      </c>
      <c r="DS106" s="1">
        <v>1</v>
      </c>
    </row>
    <row r="107" spans="120:123">
      <c r="DP107" s="1" t="s">
        <v>167</v>
      </c>
      <c r="DQ107" s="1">
        <f>VLOOKUP("T/508/4594 - The Athlete's Lifestyle",RawScores,6,FALSE)</f>
        <v>0</v>
      </c>
      <c r="DR107" s="1">
        <v>6.666666666666667</v>
      </c>
      <c r="DS107" s="1">
        <v>0</v>
      </c>
    </row>
    <row r="108" spans="120:123">
      <c r="DP108" s="1" t="s">
        <v>168</v>
      </c>
      <c r="DQ108" s="1">
        <f>VLOOKUP("T/508/4594 - The Athlete's Lifestyle",RawScores,7,FALSE)</f>
        <v>0</v>
      </c>
      <c r="DR108" s="1">
        <v>6.666666666666667</v>
      </c>
      <c r="DS108" s="1">
        <v>0</v>
      </c>
    </row>
    <row r="109" spans="120:123">
      <c r="DP109" s="1" t="s">
        <v>169</v>
      </c>
      <c r="DQ109" s="1">
        <f>VLOOKUP("T/508/4594 - The Athlete's Lifestyle",RawScores,8,FALSE)</f>
        <v>0</v>
      </c>
      <c r="DR109" s="1">
        <v>6.666666666666667</v>
      </c>
      <c r="DS109" s="1">
        <v>0</v>
      </c>
    </row>
    <row r="110" spans="120:123">
      <c r="DP110" s="1" t="s">
        <v>170</v>
      </c>
      <c r="DQ110" s="1">
        <v>0</v>
      </c>
      <c r="DR110" s="1">
        <v>0</v>
      </c>
      <c r="DS110" s="1">
        <v>0</v>
      </c>
    </row>
    <row r="111" spans="120:123">
      <c r="DP111" s="1" t="s">
        <v>171</v>
      </c>
      <c r="DQ111" s="1">
        <v>0</v>
      </c>
      <c r="DR111" s="1">
        <v>0</v>
      </c>
      <c r="DS111" s="1">
        <v>0</v>
      </c>
    </row>
    <row r="112" spans="120:123">
      <c r="DP112" s="1" t="s">
        <v>172</v>
      </c>
      <c r="DQ112" s="1">
        <f>VLOOKUP("A/508/4595 - Current Issues in Sport",RawScores,5,FALSE)</f>
        <v>0</v>
      </c>
      <c r="DR112" s="1">
        <v>0</v>
      </c>
      <c r="DS112" s="1">
        <v>1</v>
      </c>
    </row>
    <row r="113" spans="120:123">
      <c r="DP113" s="1" t="s">
        <v>173</v>
      </c>
      <c r="DQ113" s="1">
        <f>VLOOKUP("A/508/4595 - Current Issues in Sport",RawScores,6,FALSE)</f>
        <v>0</v>
      </c>
      <c r="DR113" s="1">
        <v>6.666666666666667</v>
      </c>
      <c r="DS113" s="1">
        <v>0</v>
      </c>
    </row>
    <row r="114" spans="120:123">
      <c r="DP114" s="1" t="s">
        <v>174</v>
      </c>
      <c r="DQ114" s="1">
        <f>VLOOKUP("A/508/4595 - Current Issues in Sport",RawScores,7,FALSE)</f>
        <v>0</v>
      </c>
      <c r="DR114" s="1">
        <v>6.666666666666667</v>
      </c>
      <c r="DS114" s="1">
        <v>0</v>
      </c>
    </row>
    <row r="115" spans="120:123">
      <c r="DP115" s="1" t="s">
        <v>175</v>
      </c>
      <c r="DQ115" s="1">
        <f>VLOOKUP("A/508/4595 - Current Issues in Sport",RawScores,8,FALSE)</f>
        <v>0</v>
      </c>
      <c r="DR115" s="1">
        <v>6.666666666666667</v>
      </c>
      <c r="DS115" s="1">
        <v>0</v>
      </c>
    </row>
    <row r="116" spans="120:123">
      <c r="DP116" s="1" t="s">
        <v>176</v>
      </c>
      <c r="DQ116" s="1">
        <v>0</v>
      </c>
      <c r="DR116" s="1">
        <v>0</v>
      </c>
      <c r="DS116" s="1">
        <v>0</v>
      </c>
    </row>
    <row r="117" spans="120:123">
      <c r="DP117" s="1" t="s">
        <v>177</v>
      </c>
      <c r="DQ117" s="1">
        <v>0</v>
      </c>
      <c r="DR117" s="1">
        <v>0</v>
      </c>
      <c r="DS117" s="1">
        <v>0</v>
      </c>
    </row>
    <row r="118" spans="120:123">
      <c r="DP118" s="1" t="s">
        <v>178</v>
      </c>
      <c r="DQ118" s="1">
        <f>VLOOKUP("F/508/4596 - Instructing Physical Activity and Exercise",RawScores,5,FALSE)</f>
        <v>0</v>
      </c>
      <c r="DR118" s="1">
        <v>0</v>
      </c>
      <c r="DS118" s="1">
        <v>1</v>
      </c>
    </row>
    <row r="119" spans="120:123">
      <c r="DP119" s="1" t="s">
        <v>179</v>
      </c>
      <c r="DQ119" s="1">
        <f>VLOOKUP("F/508/4596 - Instructing Physical Activity and Exercise",RawScores,6,FALSE)</f>
        <v>0</v>
      </c>
      <c r="DR119" s="1">
        <v>6.666666666666667</v>
      </c>
      <c r="DS119" s="1">
        <v>0</v>
      </c>
    </row>
    <row r="120" spans="120:123">
      <c r="DP120" s="1" t="s">
        <v>180</v>
      </c>
      <c r="DQ120" s="1">
        <f>VLOOKUP("F/508/4596 - Instructing Physical Activity and Exercise",RawScores,7,FALSE)</f>
        <v>0</v>
      </c>
      <c r="DR120" s="1">
        <v>6.666666666666667</v>
      </c>
      <c r="DS120" s="1">
        <v>0</v>
      </c>
    </row>
    <row r="121" spans="120:123">
      <c r="DP121" s="1" t="s">
        <v>181</v>
      </c>
      <c r="DQ121" s="1">
        <f>VLOOKUP("F/508/4596 - Instructing Physical Activity and Exercise",RawScores,8,FALSE)</f>
        <v>0</v>
      </c>
      <c r="DR121" s="1">
        <v>6.666666666666667</v>
      </c>
      <c r="DS121" s="1">
        <v>0</v>
      </c>
    </row>
    <row r="122" spans="120:123">
      <c r="DP122" s="1" t="s">
        <v>182</v>
      </c>
      <c r="DQ122" s="1">
        <v>0</v>
      </c>
      <c r="DR122" s="1">
        <v>0</v>
      </c>
      <c r="DS122" s="1">
        <v>0</v>
      </c>
    </row>
    <row r="123" spans="120:123">
      <c r="DP123" s="1" t="s">
        <v>183</v>
      </c>
      <c r="DQ123" s="1">
        <v>0</v>
      </c>
      <c r="DR123" s="1">
        <v>0</v>
      </c>
      <c r="DS123" s="1">
        <v>0</v>
      </c>
    </row>
    <row r="124" spans="120:123">
      <c r="DP124" s="1" t="s">
        <v>184</v>
      </c>
      <c r="DQ124" s="1">
        <f>VLOOKUP("J/508/4597 - Sports Injuries",RawScores,5,FALSE)</f>
        <v>0</v>
      </c>
      <c r="DR124" s="1">
        <v>0</v>
      </c>
      <c r="DS124" s="1">
        <v>1</v>
      </c>
    </row>
    <row r="125" spans="120:123">
      <c r="DP125" s="1" t="s">
        <v>185</v>
      </c>
      <c r="DQ125" s="1">
        <f>VLOOKUP("J/508/4597 - Sports Injuries",RawScores,6,FALSE)</f>
        <v>0</v>
      </c>
      <c r="DR125" s="1">
        <v>6.666666666666667</v>
      </c>
      <c r="DS125" s="1">
        <v>0</v>
      </c>
    </row>
    <row r="126" spans="120:123">
      <c r="DP126" s="1" t="s">
        <v>186</v>
      </c>
      <c r="DQ126" s="1">
        <f>VLOOKUP("J/508/4597 - Sports Injuries",RawScores,7,FALSE)</f>
        <v>0</v>
      </c>
      <c r="DR126" s="1">
        <v>6.666666666666667</v>
      </c>
      <c r="DS126" s="1">
        <v>0</v>
      </c>
    </row>
    <row r="127" spans="120:123">
      <c r="DP127" s="1" t="s">
        <v>187</v>
      </c>
      <c r="DQ127" s="1">
        <f>VLOOKUP("J/508/4597 - Sports Injuries",RawScores,8,FALSE)</f>
        <v>0</v>
      </c>
      <c r="DR127" s="1">
        <v>6.666666666666667</v>
      </c>
      <c r="DS127" s="1">
        <v>0</v>
      </c>
    </row>
    <row r="128" spans="120:123">
      <c r="DP128" s="1" t="s">
        <v>188</v>
      </c>
      <c r="DQ128" s="1">
        <v>0</v>
      </c>
      <c r="DR128" s="1">
        <v>0</v>
      </c>
      <c r="DS128" s="1">
        <v>0</v>
      </c>
    </row>
    <row r="129" spans="120:123">
      <c r="DP129" s="1" t="s">
        <v>189</v>
      </c>
      <c r="DQ129" s="1">
        <v>0</v>
      </c>
      <c r="DR129" s="1">
        <v>0</v>
      </c>
      <c r="DS129" s="1">
        <v>0</v>
      </c>
    </row>
    <row r="130" spans="120:123">
      <c r="DP130" s="1" t="s">
        <v>190</v>
      </c>
      <c r="DQ130" s="1">
        <f>VLOOKUP("D/508/4122 - Sports Coaching",RawScores,5,FALSE)</f>
        <v>0</v>
      </c>
      <c r="DR130" s="1">
        <v>0</v>
      </c>
      <c r="DS130" s="1">
        <v>1</v>
      </c>
    </row>
    <row r="131" spans="120:123">
      <c r="DP131" s="1" t="s">
        <v>191</v>
      </c>
      <c r="DQ131" s="1">
        <f>VLOOKUP("D/508/4122 - Sports Coaching",RawScores,6,FALSE)</f>
        <v>0</v>
      </c>
      <c r="DR131" s="1">
        <v>6.666666666666667</v>
      </c>
      <c r="DS131" s="1">
        <v>0</v>
      </c>
    </row>
    <row r="132" spans="120:123">
      <c r="DP132" s="1" t="s">
        <v>192</v>
      </c>
      <c r="DQ132" s="1">
        <f>VLOOKUP("D/508/4122 - Sports Coaching",RawScores,7,FALSE)</f>
        <v>0</v>
      </c>
      <c r="DR132" s="1">
        <v>6.666666666666667</v>
      </c>
      <c r="DS132" s="1">
        <v>0</v>
      </c>
    </row>
    <row r="133" spans="120:123">
      <c r="DP133" s="1" t="s">
        <v>193</v>
      </c>
      <c r="DQ133" s="1">
        <f>VLOOKUP("D/508/4122 - Sports Coaching",RawScores,8,FALSE)</f>
        <v>0</v>
      </c>
      <c r="DR133" s="1">
        <v>6.666666666666667</v>
      </c>
      <c r="DS133" s="1">
        <v>0</v>
      </c>
    </row>
    <row r="134" spans="120:123">
      <c r="DP134" s="1" t="s">
        <v>194</v>
      </c>
      <c r="DQ134" s="1">
        <v>0</v>
      </c>
      <c r="DR134" s="1">
        <v>0</v>
      </c>
      <c r="DS134" s="1">
        <v>0</v>
      </c>
    </row>
    <row r="135" spans="120:123">
      <c r="DP135" s="1" t="s">
        <v>195</v>
      </c>
      <c r="DQ135" s="1">
        <v>0</v>
      </c>
      <c r="DR135" s="1">
        <v>0</v>
      </c>
      <c r="DS135" s="1">
        <v>0</v>
      </c>
    </row>
    <row r="136" spans="120:123">
      <c r="DP136" s="1" t="s">
        <v>196</v>
      </c>
      <c r="DQ136" s="1">
        <f>VLOOKUP("R/508/4599 - Leadership in Sport",RawScores,5,FALSE)</f>
        <v>0</v>
      </c>
      <c r="DR136" s="1">
        <v>0</v>
      </c>
      <c r="DS136" s="1">
        <v>1</v>
      </c>
    </row>
    <row r="137" spans="120:123">
      <c r="DP137" s="1" t="s">
        <v>197</v>
      </c>
      <c r="DQ137" s="1">
        <f>VLOOKUP("R/508/4599 - Leadership in Sport",RawScores,6,FALSE)</f>
        <v>0</v>
      </c>
      <c r="DR137" s="1">
        <v>6.666666666666667</v>
      </c>
      <c r="DS137" s="1">
        <v>0</v>
      </c>
    </row>
    <row r="138" spans="120:123">
      <c r="DP138" s="1" t="s">
        <v>198</v>
      </c>
      <c r="DQ138" s="1">
        <f>VLOOKUP("R/508/4599 - Leadership in Sport",RawScores,7,FALSE)</f>
        <v>0</v>
      </c>
      <c r="DR138" s="1">
        <v>6.666666666666667</v>
      </c>
      <c r="DS138" s="1">
        <v>0</v>
      </c>
    </row>
    <row r="139" spans="120:123">
      <c r="DP139" s="1" t="s">
        <v>199</v>
      </c>
      <c r="DQ139" s="1">
        <f>VLOOKUP("R/508/4599 - Leadership in Sport",RawScores,8,FALSE)</f>
        <v>0</v>
      </c>
      <c r="DR139" s="1">
        <v>6.666666666666667</v>
      </c>
      <c r="DS139" s="1">
        <v>0</v>
      </c>
    </row>
    <row r="140" spans="120:123">
      <c r="DP140" s="1" t="s">
        <v>200</v>
      </c>
      <c r="DQ140" s="1">
        <v>0</v>
      </c>
      <c r="DR140" s="1">
        <v>0</v>
      </c>
      <c r="DS140" s="1">
        <v>0</v>
      </c>
    </row>
    <row r="141" spans="120:123">
      <c r="DP141" s="1" t="s">
        <v>201</v>
      </c>
      <c r="DQ141" s="1">
        <v>0</v>
      </c>
      <c r="DR141" s="1">
        <v>0</v>
      </c>
      <c r="DS141" s="1">
        <v>0</v>
      </c>
    </row>
    <row r="142" spans="120:123">
      <c r="DP142" s="1" t="s">
        <v>202</v>
      </c>
      <c r="DQ142" s="1">
        <f>VLOOKUP("A/508/4600 - Analysis of Sports Performance",RawScores,5,FALSE)</f>
        <v>0</v>
      </c>
      <c r="DR142" s="1">
        <v>0</v>
      </c>
      <c r="DS142" s="1">
        <v>1</v>
      </c>
    </row>
    <row r="143" spans="120:123">
      <c r="DP143" s="1" t="s">
        <v>203</v>
      </c>
      <c r="DQ143" s="1">
        <f>VLOOKUP("A/508/4600 - Analysis of Sports Performance",RawScores,6,FALSE)</f>
        <v>0</v>
      </c>
      <c r="DR143" s="1">
        <v>6.666666666666667</v>
      </c>
      <c r="DS143" s="1">
        <v>0</v>
      </c>
    </row>
    <row r="144" spans="120:123">
      <c r="DP144" s="1" t="s">
        <v>204</v>
      </c>
      <c r="DQ144" s="1">
        <f>VLOOKUP("A/508/4600 - Analysis of Sports Performance",RawScores,7,FALSE)</f>
        <v>0</v>
      </c>
      <c r="DR144" s="1">
        <v>6.666666666666667</v>
      </c>
      <c r="DS144" s="1">
        <v>0</v>
      </c>
    </row>
    <row r="145" spans="120:123">
      <c r="DP145" s="1" t="s">
        <v>205</v>
      </c>
      <c r="DQ145" s="1">
        <f>VLOOKUP("A/508/4600 - Analysis of Sports Performance",RawScores,8,FALSE)</f>
        <v>0</v>
      </c>
      <c r="DR145" s="1">
        <v>6.666666666666667</v>
      </c>
      <c r="DS145" s="1">
        <v>0</v>
      </c>
    </row>
    <row r="146" spans="120:123">
      <c r="DP146" s="1" t="s">
        <v>206</v>
      </c>
      <c r="DQ146" s="1">
        <v>0</v>
      </c>
      <c r="DR146" s="1">
        <v>0</v>
      </c>
      <c r="DS146" s="1">
        <v>0</v>
      </c>
    </row>
    <row r="147" spans="120:123">
      <c r="DP147" s="1" t="s">
        <v>207</v>
      </c>
      <c r="DQ147" s="1">
        <v>0</v>
      </c>
      <c r="DR147" s="1">
        <v>0</v>
      </c>
      <c r="DS147" s="1">
        <v>0</v>
      </c>
    </row>
    <row r="148" spans="120:123">
      <c r="DP148" s="1" t="s">
        <v>208</v>
      </c>
      <c r="DQ148" s="1">
        <f>VLOOKUP("F/508/4601 - Ethics and Values in Sport",RawScores,5,FALSE)</f>
        <v>0</v>
      </c>
      <c r="DR148" s="1">
        <v>0</v>
      </c>
      <c r="DS148" s="1">
        <v>1</v>
      </c>
    </row>
    <row r="149" spans="120:123">
      <c r="DP149" s="1" t="s">
        <v>209</v>
      </c>
      <c r="DQ149" s="1">
        <f>VLOOKUP("F/508/4601 - Ethics and Values in Sport",RawScores,6,FALSE)</f>
        <v>0</v>
      </c>
      <c r="DR149" s="1">
        <v>6.666666666666667</v>
      </c>
      <c r="DS149" s="1">
        <v>0</v>
      </c>
    </row>
    <row r="150" spans="120:123">
      <c r="DP150" s="1" t="s">
        <v>210</v>
      </c>
      <c r="DQ150" s="1">
        <f>VLOOKUP("F/508/4601 - Ethics and Values in Sport",RawScores,7,FALSE)</f>
        <v>0</v>
      </c>
      <c r="DR150" s="1">
        <v>6.666666666666667</v>
      </c>
      <c r="DS150" s="1">
        <v>0</v>
      </c>
    </row>
    <row r="151" spans="120:123">
      <c r="DP151" s="1" t="s">
        <v>211</v>
      </c>
      <c r="DQ151" s="1">
        <f>VLOOKUP("F/508/4601 - Ethics and Values in Sport",RawScores,8,FALSE)</f>
        <v>0</v>
      </c>
      <c r="DR151" s="1">
        <v>6.666666666666667</v>
      </c>
      <c r="DS151" s="1">
        <v>0</v>
      </c>
    </row>
    <row r="152" spans="120:123">
      <c r="DP152" s="1" t="s">
        <v>212</v>
      </c>
      <c r="DQ152" s="1">
        <v>0</v>
      </c>
      <c r="DR152" s="1">
        <v>0</v>
      </c>
      <c r="DS152" s="1">
        <v>0</v>
      </c>
    </row>
    <row r="153" spans="120:123">
      <c r="DP153" s="1" t="s">
        <v>213</v>
      </c>
      <c r="DQ153" s="1">
        <v>0</v>
      </c>
      <c r="DR153" s="1">
        <v>0</v>
      </c>
      <c r="DS153" s="1">
        <v>0</v>
      </c>
    </row>
    <row r="154" spans="120:123">
      <c r="DP154" s="1" t="s">
        <v>214</v>
      </c>
      <c r="DQ154" s="1">
        <f>VLOOKUP("L/508/4603 - Sport and Exercise Massage",RawScores,5,FALSE)</f>
        <v>0</v>
      </c>
      <c r="DR154" s="1">
        <v>0</v>
      </c>
      <c r="DS154" s="1">
        <v>1</v>
      </c>
    </row>
    <row r="155" spans="120:123">
      <c r="DP155" s="1" t="s">
        <v>215</v>
      </c>
      <c r="DQ155" s="1">
        <f>VLOOKUP("L/508/4603 - Sport and Exercise Massage",RawScores,6,FALSE)</f>
        <v>0</v>
      </c>
      <c r="DR155" s="1">
        <v>6.666666666666667</v>
      </c>
      <c r="DS155" s="1">
        <v>0</v>
      </c>
    </row>
    <row r="156" spans="120:123">
      <c r="DP156" s="1" t="s">
        <v>216</v>
      </c>
      <c r="DQ156" s="1">
        <f>VLOOKUP("L/508/4603 - Sport and Exercise Massage",RawScores,7,FALSE)</f>
        <v>0</v>
      </c>
      <c r="DR156" s="1">
        <v>6.666666666666667</v>
      </c>
      <c r="DS156" s="1">
        <v>0</v>
      </c>
    </row>
    <row r="157" spans="120:123">
      <c r="DP157" s="1" t="s">
        <v>217</v>
      </c>
      <c r="DQ157" s="1">
        <f>VLOOKUP("L/508/4603 - Sport and Exercise Massage",RawScores,8,FALSE)</f>
        <v>0</v>
      </c>
      <c r="DR157" s="1">
        <v>6.666666666666667</v>
      </c>
      <c r="DS157" s="1">
        <v>0</v>
      </c>
    </row>
    <row r="158" spans="120:123">
      <c r="DP158" s="1" t="s">
        <v>218</v>
      </c>
      <c r="DQ158" s="1">
        <v>0</v>
      </c>
      <c r="DR158" s="1">
        <v>0</v>
      </c>
      <c r="DS158" s="1">
        <v>0</v>
      </c>
    </row>
    <row r="159" spans="120:123">
      <c r="DP159" s="1" t="s">
        <v>219</v>
      </c>
      <c r="DQ159" s="1">
        <v>0</v>
      </c>
      <c r="DR159" s="1">
        <v>0</v>
      </c>
      <c r="DS159" s="1">
        <v>0</v>
      </c>
    </row>
    <row r="160" spans="120:123">
      <c r="DP160" s="1" t="s">
        <v>220</v>
      </c>
      <c r="DQ160" s="1">
        <f>VLOOKUP("R/508/4604 - Organising Sports Events",RawScores,5,FALSE)</f>
        <v>0</v>
      </c>
      <c r="DR160" s="1">
        <v>0</v>
      </c>
      <c r="DS160" s="1">
        <v>1</v>
      </c>
    </row>
    <row r="161" spans="120:123">
      <c r="DP161" s="1" t="s">
        <v>221</v>
      </c>
      <c r="DQ161" s="1">
        <f>VLOOKUP("R/508/4604 - Organising Sports Events",RawScores,6,FALSE)</f>
        <v>0</v>
      </c>
      <c r="DR161" s="1">
        <v>6.666666666666667</v>
      </c>
      <c r="DS161" s="1">
        <v>0</v>
      </c>
    </row>
    <row r="162" spans="120:123">
      <c r="DP162" s="1" t="s">
        <v>222</v>
      </c>
      <c r="DQ162" s="1">
        <f>VLOOKUP("R/508/4604 - Organising Sports Events",RawScores,7,FALSE)</f>
        <v>0</v>
      </c>
      <c r="DR162" s="1">
        <v>6.666666666666667</v>
      </c>
      <c r="DS162" s="1">
        <v>0</v>
      </c>
    </row>
    <row r="163" spans="120:123">
      <c r="DP163" s="1" t="s">
        <v>223</v>
      </c>
      <c r="DQ163" s="1">
        <f>VLOOKUP("R/508/4604 - Organising Sports Events",RawScores,8,FALSE)</f>
        <v>0</v>
      </c>
      <c r="DR163" s="1">
        <v>6.666666666666667</v>
      </c>
      <c r="DS163" s="1">
        <v>0</v>
      </c>
    </row>
    <row r="164" spans="120:123">
      <c r="DP164" s="1" t="s">
        <v>224</v>
      </c>
      <c r="DQ164" s="1">
        <v>0</v>
      </c>
      <c r="DR164" s="1">
        <v>0</v>
      </c>
      <c r="DS164" s="1">
        <v>0</v>
      </c>
    </row>
    <row r="165" spans="120:123">
      <c r="DP165" s="1" t="s">
        <v>225</v>
      </c>
      <c r="DQ165" s="1">
        <v>0</v>
      </c>
      <c r="DR165" s="1">
        <v>0</v>
      </c>
      <c r="DS165" s="1">
        <v>0</v>
      </c>
    </row>
    <row r="166" spans="120:123">
      <c r="DP166" s="1" t="s">
        <v>226</v>
      </c>
      <c r="DQ166" s="1">
        <f>VLOOKUP("D/508/4606 - Applied Strength and Conditioning",RawScores,5,FALSE)</f>
        <v>0</v>
      </c>
      <c r="DR166" s="1">
        <v>0</v>
      </c>
      <c r="DS166" s="1">
        <v>1</v>
      </c>
    </row>
    <row r="167" spans="120:123">
      <c r="DP167" s="1" t="s">
        <v>227</v>
      </c>
      <c r="DQ167" s="1">
        <f>VLOOKUP("D/508/4606 - Applied Strength and Conditioning",RawScores,6,FALSE)</f>
        <v>0</v>
      </c>
      <c r="DR167" s="1">
        <v>6.666666666666667</v>
      </c>
      <c r="DS167" s="1">
        <v>0</v>
      </c>
    </row>
    <row r="168" spans="120:123">
      <c r="DP168" s="1" t="s">
        <v>228</v>
      </c>
      <c r="DQ168" s="1">
        <f>VLOOKUP("D/508/4606 - Applied Strength and Conditioning",RawScores,7,FALSE)</f>
        <v>0</v>
      </c>
      <c r="DR168" s="1">
        <v>6.666666666666667</v>
      </c>
      <c r="DS168" s="1">
        <v>0</v>
      </c>
    </row>
    <row r="169" spans="120:123">
      <c r="DP169" s="1" t="s">
        <v>229</v>
      </c>
      <c r="DQ169" s="1">
        <f>VLOOKUP("D/508/4606 - Applied Strength and Conditioning",RawScores,8,FALSE)</f>
        <v>0</v>
      </c>
      <c r="DR169" s="1">
        <v>6.666666666666667</v>
      </c>
      <c r="DS169" s="1">
        <v>0</v>
      </c>
    </row>
    <row r="170" spans="120:123">
      <c r="DP170" s="1" t="s">
        <v>230</v>
      </c>
      <c r="DQ170" s="1">
        <v>0</v>
      </c>
      <c r="DR170" s="1">
        <v>0</v>
      </c>
      <c r="DS170" s="1">
        <v>0</v>
      </c>
    </row>
    <row r="171" spans="120:123">
      <c r="DP171" s="1" t="s">
        <v>231</v>
      </c>
      <c r="DQ171" s="1">
        <v>0</v>
      </c>
      <c r="DR171" s="1">
        <v>0</v>
      </c>
      <c r="DS171" s="1">
        <v>0</v>
      </c>
    </row>
    <row r="172" spans="120:123">
      <c r="DP172" s="1" t="s">
        <v>232</v>
      </c>
      <c r="DQ172" s="1">
        <f>VLOOKUP("D/508/4623 - Personal and Professional Development",RawScores,5,FALSE)</f>
        <v>0</v>
      </c>
      <c r="DR172" s="1">
        <v>0</v>
      </c>
      <c r="DS172" s="1">
        <v>1</v>
      </c>
    </row>
    <row r="173" spans="120:123">
      <c r="DP173" s="1" t="s">
        <v>233</v>
      </c>
      <c r="DQ173" s="1">
        <f>VLOOKUP("D/508/4623 - Personal and Professional Development",RawScores,6,FALSE)</f>
        <v>0</v>
      </c>
      <c r="DR173" s="1">
        <v>6.666666666666667</v>
      </c>
      <c r="DS173" s="1">
        <v>0</v>
      </c>
    </row>
    <row r="174" spans="120:123">
      <c r="DP174" s="1" t="s">
        <v>234</v>
      </c>
      <c r="DQ174" s="1">
        <f>VLOOKUP("D/508/4623 - Personal and Professional Development",RawScores,7,FALSE)</f>
        <v>0</v>
      </c>
      <c r="DR174" s="1">
        <v>6.666666666666667</v>
      </c>
      <c r="DS174" s="1">
        <v>0</v>
      </c>
    </row>
    <row r="175" spans="120:123">
      <c r="DP175" s="1" t="s">
        <v>235</v>
      </c>
      <c r="DQ175" s="1">
        <f>VLOOKUP("D/508/4623 - Personal and Professional Development",RawScores,8,FALSE)</f>
        <v>0</v>
      </c>
      <c r="DR175" s="1">
        <v>6.666666666666667</v>
      </c>
      <c r="DS175" s="1">
        <v>0</v>
      </c>
    </row>
    <row r="176" spans="120:123">
      <c r="DP176" s="1" t="s">
        <v>236</v>
      </c>
      <c r="DQ176" s="1">
        <v>0</v>
      </c>
      <c r="DR176" s="1">
        <v>0</v>
      </c>
      <c r="DS176" s="1">
        <v>0</v>
      </c>
    </row>
    <row r="177" spans="120:123">
      <c r="DP177" s="1" t="s">
        <v>237</v>
      </c>
      <c r="DQ177" s="1">
        <v>0</v>
      </c>
      <c r="DR177" s="1">
        <v>0</v>
      </c>
      <c r="DS177" s="1">
        <v>0</v>
      </c>
    </row>
    <row r="178" spans="120:123">
      <c r="DP178" s="1" t="s">
        <v>238</v>
      </c>
      <c r="DQ178" s="1">
        <f>VLOOKUP("Y/508/4586 - Work Experience in Sport",RawScores,5,FALSE)</f>
        <v>0</v>
      </c>
      <c r="DR178" s="1">
        <v>0</v>
      </c>
      <c r="DS178" s="1">
        <v>1</v>
      </c>
    </row>
    <row r="179" spans="120:123">
      <c r="DP179" s="1" t="s">
        <v>239</v>
      </c>
      <c r="DQ179" s="1">
        <f>VLOOKUP("Y/508/4586 - Work Experience in Sport",RawScores,6,FALSE)</f>
        <v>0</v>
      </c>
      <c r="DR179" s="1">
        <v>6.666666666666667</v>
      </c>
      <c r="DS179" s="1">
        <v>0</v>
      </c>
    </row>
    <row r="180" spans="120:123">
      <c r="DP180" s="1" t="s">
        <v>240</v>
      </c>
      <c r="DQ180" s="1">
        <f>VLOOKUP("Y/508/4586 - Work Experience in Sport",RawScores,7,FALSE)</f>
        <v>0</v>
      </c>
      <c r="DR180" s="1">
        <v>6.666666666666667</v>
      </c>
      <c r="DS180" s="1">
        <v>0</v>
      </c>
    </row>
    <row r="181" spans="120:123">
      <c r="DP181" s="1" t="s">
        <v>241</v>
      </c>
      <c r="DQ181" s="1">
        <f>VLOOKUP("Y/508/4586 - Work Experience in Sport",RawScores,8,FALSE)</f>
        <v>0</v>
      </c>
      <c r="DR181" s="1">
        <v>6.666666666666667</v>
      </c>
      <c r="DS181" s="1">
        <v>0</v>
      </c>
    </row>
  </sheetData>
  <sheetProtection password="A096" sheet="1" formatColumns="0"/>
  <dataValidations count="30">
    <dataValidation type="list" allowBlank="1" showErrorMessage="1" errorTitle="Error" error="Selection not valid" sqref="F12">
      <formula1>MandatoryGrades</formula1>
    </dataValidation>
    <dataValidation type="list" allowBlank="1" showErrorMessage="1" errorTitle="Error" error="Selection not valid" sqref="F13">
      <formula1>MandatoryGrades</formula1>
    </dataValidation>
    <dataValidation type="list" allowBlank="1" showErrorMessage="1" errorTitle="Error" error="Selection not valid" sqref="F14">
      <formula1>MandatoryGrades</formula1>
    </dataValidation>
    <dataValidation type="list" allowBlank="1" showErrorMessage="1" errorTitle="Error" error="Selection not valid" sqref="F15">
      <formula1>Grades</formula1>
    </dataValidation>
    <dataValidation type="list" allowBlank="1" showErrorMessage="1" errorTitle="Error" error="Selection not valid" sqref="F16">
      <formula1>Grades</formula1>
    </dataValidation>
    <dataValidation type="list" allowBlank="1" showErrorMessage="1" errorTitle="Error" error="Selection not valid" sqref="F17">
      <formula1>Grades</formula1>
    </dataValidation>
    <dataValidation type="list" allowBlank="1" showErrorMessage="1" errorTitle="Error" error="Selection not valid" sqref="F18">
      <formula1>Grades</formula1>
    </dataValidation>
    <dataValidation type="list" allowBlank="1" showErrorMessage="1" errorTitle="Error" error="Selection not valid" sqref="F19">
      <formula1>Grades</formula1>
    </dataValidation>
    <dataValidation type="list" allowBlank="1" showErrorMessage="1" errorTitle="Error" error="Selection not valid" sqref="F20">
      <formula1>Grades</formula1>
    </dataValidation>
    <dataValidation type="list" allowBlank="1" showErrorMessage="1" errorTitle="Error" error="Selection not valid" sqref="F21">
      <formula1>Grades</formula1>
    </dataValidation>
    <dataValidation type="list" allowBlank="1" showErrorMessage="1" errorTitle="Error" error="Selection not valid" sqref="F22">
      <formula1>Grades</formula1>
    </dataValidation>
    <dataValidation type="list" allowBlank="1" showErrorMessage="1" errorTitle="Error" error="Selection not valid" sqref="F23">
      <formula1>Grades</formula1>
    </dataValidation>
    <dataValidation type="list" allowBlank="1" showErrorMessage="1" errorTitle="Error" error="Selection not valid" sqref="F24">
      <formula1>Grades</formula1>
    </dataValidation>
    <dataValidation type="list" allowBlank="1" showErrorMessage="1" errorTitle="Error" error="Selection not valid" sqref="F25">
      <formula1>Grades</formula1>
    </dataValidation>
    <dataValidation type="list" allowBlank="1" showErrorMessage="1" errorTitle="Error" error="Selection not valid" sqref="F26">
      <formula1>Grades</formula1>
    </dataValidation>
    <dataValidation type="list" allowBlank="1" showErrorMessage="1" errorTitle="Error" error="Selection not valid" sqref="F27">
      <formula1>Grades</formula1>
    </dataValidation>
    <dataValidation type="list" allowBlank="1" showErrorMessage="1" errorTitle="Error" error="Selection not valid" sqref="F28">
      <formula1>Grades</formula1>
    </dataValidation>
    <dataValidation type="list" allowBlank="1" showErrorMessage="1" errorTitle="Error" error="Selection not valid" sqref="F29">
      <formula1>Grades</formula1>
    </dataValidation>
    <dataValidation type="list" allowBlank="1" showErrorMessage="1" errorTitle="Error" error="Selection not valid" sqref="F30">
      <formula1>Grades</formula1>
    </dataValidation>
    <dataValidation type="list" allowBlank="1" showErrorMessage="1" errorTitle="Error" error="Selection not valid" sqref="F31">
      <formula1>Grades</formula1>
    </dataValidation>
    <dataValidation type="list" allowBlank="1" showErrorMessage="1" errorTitle="Error" error="Selection not valid" sqref="F32">
      <formula1>Grades</formula1>
    </dataValidation>
    <dataValidation type="list" allowBlank="1" showErrorMessage="1" errorTitle="Error" error="Selection not valid" sqref="F33">
      <formula1>Grades</formula1>
    </dataValidation>
    <dataValidation type="list" allowBlank="1" showErrorMessage="1" errorTitle="Error" error="Selection not valid" sqref="F34">
      <formula1>Grades</formula1>
    </dataValidation>
    <dataValidation type="list" allowBlank="1" showErrorMessage="1" errorTitle="Error" error="Selection not valid" sqref="F35">
      <formula1>Grades</formula1>
    </dataValidation>
    <dataValidation type="list" allowBlank="1" showErrorMessage="1" errorTitle="Error" error="Selection not valid" sqref="F36">
      <formula1>Grades</formula1>
    </dataValidation>
    <dataValidation type="list" allowBlank="1" showErrorMessage="1" errorTitle="Error" error="Selection not valid" sqref="F37">
      <formula1>Grades</formula1>
    </dataValidation>
    <dataValidation type="list" allowBlank="1" showErrorMessage="1" errorTitle="Error" error="Selection not valid" sqref="F38">
      <formula1>Grades</formula1>
    </dataValidation>
    <dataValidation type="list" allowBlank="1" showErrorMessage="1" errorTitle="Error" error="Selection not valid" sqref="F39">
      <formula1>Grades</formula1>
    </dataValidation>
    <dataValidation type="list" allowBlank="1" showErrorMessage="1" errorTitle="Error" error="Selection not valid" sqref="F40">
      <formula1>Grades</formula1>
    </dataValidation>
    <dataValidation type="list" allowBlank="1" showErrorMessage="1" errorTitle="Error" error="Selection not valid" sqref="F41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Tromans</dc:creator>
  <cp:lastModifiedBy>Carla Tromans</cp:lastModifiedBy>
  <dcterms:created xsi:type="dcterms:W3CDTF">2017-01-26T12:18:05Z</dcterms:created>
  <dcterms:modified xsi:type="dcterms:W3CDTF">2017-01-26T12:18:05Z</dcterms:modified>
</cp:coreProperties>
</file>