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alification Grade" sheetId="1" r:id="rId1"/>
  </sheets>
  <definedNames>
    <definedName name="GroupsGroup" localSheetId="0">'Qualification Grade'!$C$12:$C$35</definedName>
    <definedName name="Selections" localSheetId="0">'Qualification Grade'!$F$12:$F$34</definedName>
    <definedName name="UMSGroup" localSheetId="0">'Qualification Grade'!$H$12:$H$34</definedName>
    <definedName name="MandatoryScoreGroup" localSheetId="0">'Qualification Grade'!$I$12:$I$34</definedName>
    <definedName name="HurdleGroup" localSheetId="0">'Qualification Grade'!$J$12:$J$34</definedName>
    <definedName name="UnitSelections" localSheetId="0">'Qualification Grade'!$E$11:$F$34</definedName>
    <definedName name="RawUmsPercent" localSheetId="0">'Qualification Grade'!$AY$2</definedName>
    <definedName name="HasMet" localSheetId="0">'Qualification Grade'!$BC$2</definedName>
    <definedName name="RawGrade" localSheetId="0">'Qualification Grade'!$BD$2</definedName>
    <definedName name="RawScores" localSheetId="0">'Qualification Grade'!$CV$1:$DC$24</definedName>
    <definedName name="TotalGHL" localSheetId="0">'Qualification Grade'!$CW$25</definedName>
    <definedName name="InternalAssessment" localSheetId="0">'Qualification Grade'!$DP$1:$DS$139</definedName>
    <definedName name="Grades" localSheetId="0">'Qualification Grade'!$EJ$1:$EJ$5</definedName>
    <definedName name="MandatoryGrades" localSheetId="0">'Qualification Grade'!$EL$1:$EL$4</definedName>
    <definedName name="RawMaxGradeCalc" localSheetId="0">'Qualification Grade'!$FF$1:$FG$5</definedName>
  </definedNames>
  <calcPr fullCalcOnLoad="1"/>
</workbook>
</file>

<file path=xl/sharedStrings.xml><?xml version="1.0" encoding="utf-8"?>
<sst xmlns="http://schemas.openxmlformats.org/spreadsheetml/2006/main" count="193" uniqueCount="193">
  <si>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</si>
  <si>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</si>
  <si>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</si>
  <si>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</si>
  <si>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</si>
  <si>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</si>
  <si>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</si>
  <si>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</si>
  <si>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</si>
  <si>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</si>
  <si>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</si>
  <si>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</si>
  <si>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</si>
  <si>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</si>
  <si>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</si>
  <si>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</si>
  <si>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</si>
  <si>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</si>
  <si>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</si>
  <si>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</si>
  <si>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</si>
  <si>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H/507/8483 - The UK Travel and Tourism Industry</t>
  </si>
  <si>
    <t>H/507/8483 - The UK Travel and Tourism Industry_</t>
  </si>
  <si>
    <t>K/507/8484 - Customer Service in Travel and Tourism</t>
  </si>
  <si>
    <t>H/507/8483 - The UK Travel and Tourism Industry_Not Applicable</t>
  </si>
  <si>
    <t>M/507/8485 - Preparing for a Career in Travel and Tourism</t>
  </si>
  <si>
    <t>H/507/8483 - The UK Travel and Tourism Industry_Not Yet Achieved</t>
  </si>
  <si>
    <t>Grading Calculator</t>
  </si>
  <si>
    <t>T/507/8486 - Travel and Tourism Destinations</t>
  </si>
  <si>
    <t>H/507/8483 - The UK Travel and Tourism Industry_Pass</t>
  </si>
  <si>
    <t>601/7936/3 - NCFE Level 3 Extended Diploma in Travel and Tourism</t>
  </si>
  <si>
    <t>A/507/8487 - UK Visitor Attractions</t>
  </si>
  <si>
    <t>H/507/8483 - The UK Travel and Tourism Industry_Merit</t>
  </si>
  <si>
    <t>Estimated Final Grade</t>
  </si>
  <si>
    <t>F/507/8488 - Hospitality in Travel and Tourism</t>
  </si>
  <si>
    <t>H/507/8483 - The UK Travel and Tourism Industry_Distinction</t>
  </si>
  <si>
    <t>Learners are required to successfully complete 3 mandatory units and 15 optional units.</t>
  </si>
  <si>
    <t>J/507/8489 - Work Experience in Travel and Tourism</t>
  </si>
  <si>
    <t>K/507/8484 - Customer Service in Travel and Tourism_</t>
  </si>
  <si>
    <t>A/507/8490 - UK Tour Operations</t>
  </si>
  <si>
    <t>K/507/8484 - Customer Service in Travel and Tourism_Not Applicable</t>
  </si>
  <si>
    <t>F/507/8491 - Travel Agency Operations</t>
  </si>
  <si>
    <t>K/507/8484 - Customer Service in Travel and Tourism_Not Yet Achieved</t>
  </si>
  <si>
    <t>Group</t>
  </si>
  <si>
    <t>Order</t>
  </si>
  <si>
    <t>Select Grade</t>
  </si>
  <si>
    <t>Mandatory</t>
  </si>
  <si>
    <t>Mandatory Score</t>
  </si>
  <si>
    <t>J/507/8492 - The UK Conference and Event Industry</t>
  </si>
  <si>
    <t>K/507/8484 - Customer Service in Travel and Tourism_Pass</t>
  </si>
  <si>
    <t>Yes</t>
  </si>
  <si>
    <t>L/507/8493 - Marketing for Travel and Tourism</t>
  </si>
  <si>
    <t>K/507/8484 - Customer Service in Travel and Tourism_Merit</t>
  </si>
  <si>
    <t>R/507/8494 - UK Passenger Transport Industry</t>
  </si>
  <si>
    <t>K/507/8484 - Customer Service in Travel and Tourism_Distinction</t>
  </si>
  <si>
    <t>T/507/8505 - Resort Representative Roles and Responsibilities</t>
  </si>
  <si>
    <t>M/507/8485 - Preparing for a Career in Travel and Tourism_</t>
  </si>
  <si>
    <t>No</t>
  </si>
  <si>
    <t>Y/507/8495 - Investigating Airline Cabin Crew</t>
  </si>
  <si>
    <t>M/507/8485 - Preparing for a Career in Travel and Tourism_Not Applicable</t>
  </si>
  <si>
    <t>D/507/8496 - UK Airports</t>
  </si>
  <si>
    <t>M/507/8485 - Preparing for a Career in Travel and Tourism_Not Yet Achieved</t>
  </si>
  <si>
    <t>H/507/8497 - Worldwide Passenger Airlines</t>
  </si>
  <si>
    <t>M/507/8485 - Preparing for a Career in Travel and Tourism_Pass</t>
  </si>
  <si>
    <t>K/507/8498 - The Cruise Industry</t>
  </si>
  <si>
    <t>M/507/8485 - Preparing for a Career in Travel and Tourism_Merit</t>
  </si>
  <si>
    <t>M/507/8499 - UK Heritage Tourist Attractions</t>
  </si>
  <si>
    <t>M/507/8485 - Preparing for a Career in Travel and Tourism_Distinction</t>
  </si>
  <si>
    <t>Y/507/8500 - Responsible Tourism</t>
  </si>
  <si>
    <t>T/507/8486 - Travel and Tourism Destinations_</t>
  </si>
  <si>
    <t>D/507/8501 - Specialist Tourism</t>
  </si>
  <si>
    <t>T/507/8486 - Travel and Tourism Destinations_Not Applicable</t>
  </si>
  <si>
    <t>H/507/8502 - Business Travel</t>
  </si>
  <si>
    <t>T/507/8486 - Travel and Tourism Destinations_Not Yet Achieved</t>
  </si>
  <si>
    <t>K/507/8503 - Storytelling for Tourism</t>
  </si>
  <si>
    <t>T/507/8486 - Travel and Tourism Destinations_Pass</t>
  </si>
  <si>
    <t>M/507/8504 - Tour Guiding</t>
  </si>
  <si>
    <t>T/507/8486 - Travel and Tourism Destinations_Merit</t>
  </si>
  <si>
    <t>T/507/8486 - Travel and Tourism Destinations_Distinction</t>
  </si>
  <si>
    <t>A/507/8487 - UK Visitor Attractions_</t>
  </si>
  <si>
    <t>A/507/8487 - UK Visitor Attractions_Not Applicable</t>
  </si>
  <si>
    <t>A/507/8487 - UK Visitor Attractions_Not Yet Achieved</t>
  </si>
  <si>
    <t>A/507/8487 - UK Visitor Attractions_Pass</t>
  </si>
  <si>
    <t>A/507/8487 - UK Visitor Attractions_Merit</t>
  </si>
  <si>
    <t>A/507/8487 - UK Visitor Attractions_Distinction</t>
  </si>
  <si>
    <t>F/507/8488 - Hospitality in Travel and Tourism_</t>
  </si>
  <si>
    <t>F/507/8488 - Hospitality in Travel and Tourism_Not Applicable</t>
  </si>
  <si>
    <t>F/507/8488 - Hospitality in Travel and Tourism_Not Yet Achieved</t>
  </si>
  <si>
    <t>F/507/8488 - Hospitality in Travel and Tourism_Pass</t>
  </si>
  <si>
    <t>F/507/8488 - Hospitality in Travel and Tourism_Merit</t>
  </si>
  <si>
    <t>F/507/8488 - Hospitality in Travel and Tourism_Distinction</t>
  </si>
  <si>
    <t>J/507/8489 - Work Experience in Travel and Tourism_</t>
  </si>
  <si>
    <t>J/507/8489 - Work Experience in Travel and Tourism_Not Applicable</t>
  </si>
  <si>
    <t>J/507/8489 - Work Experience in Travel and Tourism_Not Yet Achieved</t>
  </si>
  <si>
    <t>J/507/8489 - Work Experience in Travel and Tourism_Pass</t>
  </si>
  <si>
    <t>J/507/8489 - Work Experience in Travel and Tourism_Merit</t>
  </si>
  <si>
    <t>J/507/8489 - Work Experience in Travel and Tourism_Distinction</t>
  </si>
  <si>
    <t>A/507/8490 - UK Tour Operations_</t>
  </si>
  <si>
    <t>A/507/8490 - UK Tour Operations_Not Applicable</t>
  </si>
  <si>
    <t>A/507/8490 - UK Tour Operations_Not Yet Achieved</t>
  </si>
  <si>
    <t>A/507/8490 - UK Tour Operations_Pass</t>
  </si>
  <si>
    <t>A/507/8490 - UK Tour Operations_Merit</t>
  </si>
  <si>
    <t>A/507/8490 - UK Tour Operations_Distinction</t>
  </si>
  <si>
    <t>F/507/8491 - Travel Agency Operations_</t>
  </si>
  <si>
    <t>F/507/8491 - Travel Agency Operations_Not Applicable</t>
  </si>
  <si>
    <t>F/507/8491 - Travel Agency Operations_Not Yet Achieved</t>
  </si>
  <si>
    <t>F/507/8491 - Travel Agency Operations_Pass</t>
  </si>
  <si>
    <t>F/507/8491 - Travel Agency Operations_Merit</t>
  </si>
  <si>
    <t>F/507/8491 - Travel Agency Operations_Distinction</t>
  </si>
  <si>
    <t>J/507/8492 - The UK Conference and Event Industry_</t>
  </si>
  <si>
    <t>J/507/8492 - The UK Conference and Event Industry_Not Applicable</t>
  </si>
  <si>
    <t>J/507/8492 - The UK Conference and Event Industry_Not Yet Achieved</t>
  </si>
  <si>
    <t>J/507/8492 - The UK Conference and Event Industry_Pass</t>
  </si>
  <si>
    <t>J/507/8492 - The UK Conference and Event Industry_Merit</t>
  </si>
  <si>
    <t>J/507/8492 - The UK Conference and Event Industry_Distinction</t>
  </si>
  <si>
    <t>L/507/8493 - Marketing for Travel and Tourism_</t>
  </si>
  <si>
    <t>L/507/8493 - Marketing for Travel and Tourism_Not Applicable</t>
  </si>
  <si>
    <t>L/507/8493 - Marketing for Travel and Tourism_Not Yet Achieved</t>
  </si>
  <si>
    <t>L/507/8493 - Marketing for Travel and Tourism_Pass</t>
  </si>
  <si>
    <t>L/507/8493 - Marketing for Travel and Tourism_Merit</t>
  </si>
  <si>
    <t>L/507/8493 - Marketing for Travel and Tourism_Distinction</t>
  </si>
  <si>
    <t>R/507/8494 - UK Passenger Transport Industry_</t>
  </si>
  <si>
    <t>R/507/8494 - UK Passenger Transport Industry_Not Applicable</t>
  </si>
  <si>
    <t>R/507/8494 - UK Passenger Transport Industry_Not Yet Achieved</t>
  </si>
  <si>
    <t>R/507/8494 - UK Passenger Transport Industry_Pass</t>
  </si>
  <si>
    <t>R/507/8494 - UK Passenger Transport Industry_Merit</t>
  </si>
  <si>
    <t>R/507/8494 - UK Passenger Transport Industry_Distinction</t>
  </si>
  <si>
    <t>T/507/8505 - Resort Representative Roles and Responsibilities_</t>
  </si>
  <si>
    <t>T/507/8505 - Resort Representative Roles and Responsibilities_Not Applicable</t>
  </si>
  <si>
    <t>T/507/8505 - Resort Representative Roles and Responsibilities_Not Yet Achieved</t>
  </si>
  <si>
    <t>T/507/8505 - Resort Representative Roles and Responsibilities_Pass</t>
  </si>
  <si>
    <t>T/507/8505 - Resort Representative Roles and Responsibilities_Merit</t>
  </si>
  <si>
    <t>T/507/8505 - Resort Representative Roles and Responsibilities_Distinction</t>
  </si>
  <si>
    <t>Y/507/8495 - Investigating Airline Cabin Crew_</t>
  </si>
  <si>
    <t>Y/507/8495 - Investigating Airline Cabin Crew_Not Applicable</t>
  </si>
  <si>
    <t>Y/507/8495 - Investigating Airline Cabin Crew_Not Yet Achieved</t>
  </si>
  <si>
    <t>Y/507/8495 - Investigating Airline Cabin Crew_Pass</t>
  </si>
  <si>
    <t>Y/507/8495 - Investigating Airline Cabin Crew_Merit</t>
  </si>
  <si>
    <t>Y/507/8495 - Investigating Airline Cabin Crew_Distinction</t>
  </si>
  <si>
    <t>D/507/8496 - UK Airports_</t>
  </si>
  <si>
    <t>D/507/8496 - UK Airports_Not Applicable</t>
  </si>
  <si>
    <t>D/507/8496 - UK Airports_Not Yet Achieved</t>
  </si>
  <si>
    <t>D/507/8496 - UK Airports_Pass</t>
  </si>
  <si>
    <t>D/507/8496 - UK Airports_Merit</t>
  </si>
  <si>
    <t>D/507/8496 - UK Airports_Distinction</t>
  </si>
  <si>
    <t>H/507/8497 - Worldwide Passenger Airlines_</t>
  </si>
  <si>
    <t>H/507/8497 - Worldwide Passenger Airlines_Not Applicable</t>
  </si>
  <si>
    <t>H/507/8497 - Worldwide Passenger Airlines_Not Yet Achieved</t>
  </si>
  <si>
    <t>H/507/8497 - Worldwide Passenger Airlines_Pass</t>
  </si>
  <si>
    <t>H/507/8497 - Worldwide Passenger Airlines_Merit</t>
  </si>
  <si>
    <t>H/507/8497 - Worldwide Passenger Airlines_Distinction</t>
  </si>
  <si>
    <t>K/507/8498 - The Cruise Industry_</t>
  </si>
  <si>
    <t>K/507/8498 - The Cruise Industry_Not Applicable</t>
  </si>
  <si>
    <t>K/507/8498 - The Cruise Industry_Not Yet Achieved</t>
  </si>
  <si>
    <t>K/507/8498 - The Cruise Industry_Pass</t>
  </si>
  <si>
    <t>K/507/8498 - The Cruise Industry_Merit</t>
  </si>
  <si>
    <t>K/507/8498 - The Cruise Industry_Distinction</t>
  </si>
  <si>
    <t>M/507/8499 - UK Heritage Tourist Attractions_</t>
  </si>
  <si>
    <t>M/507/8499 - UK Heritage Tourist Attractions_Not Applicable</t>
  </si>
  <si>
    <t>M/507/8499 - UK Heritage Tourist Attractions_Not Yet Achieved</t>
  </si>
  <si>
    <t>M/507/8499 - UK Heritage Tourist Attractions_Pass</t>
  </si>
  <si>
    <t>M/507/8499 - UK Heritage Tourist Attractions_Merit</t>
  </si>
  <si>
    <t>M/507/8499 - UK Heritage Tourist Attractions_Distinction</t>
  </si>
  <si>
    <t>Y/507/8500 - Responsible Tourism_</t>
  </si>
  <si>
    <t>Y/507/8500 - Responsible Tourism_Not Applicable</t>
  </si>
  <si>
    <t>Y/507/8500 - Responsible Tourism_Not Yet Achieved</t>
  </si>
  <si>
    <t>Y/507/8500 - Responsible Tourism_Pass</t>
  </si>
  <si>
    <t>Y/507/8500 - Responsible Tourism_Merit</t>
  </si>
  <si>
    <t>Y/507/8500 - Responsible Tourism_Distinction</t>
  </si>
  <si>
    <t>D/507/8501 - Specialist Tourism_</t>
  </si>
  <si>
    <t>D/507/8501 - Specialist Tourism_Not Applicable</t>
  </si>
  <si>
    <t>D/507/8501 - Specialist Tourism_Not Yet Achieved</t>
  </si>
  <si>
    <t>D/507/8501 - Specialist Tourism_Pass</t>
  </si>
  <si>
    <t>D/507/8501 - Specialist Tourism_Merit</t>
  </si>
  <si>
    <t>D/507/8501 - Specialist Tourism_Distinction</t>
  </si>
  <si>
    <t>H/507/8502 - Business Travel_</t>
  </si>
  <si>
    <t>H/507/8502 - Business Travel_Not Applicable</t>
  </si>
  <si>
    <t>H/507/8502 - Business Travel_Not Yet Achieved</t>
  </si>
  <si>
    <t>H/507/8502 - Business Travel_Pass</t>
  </si>
  <si>
    <t>H/507/8502 - Business Travel_Merit</t>
  </si>
  <si>
    <t>H/507/8502 - Business Travel_Distinction</t>
  </si>
  <si>
    <t>K/507/8503 - Storytelling for Tourism_</t>
  </si>
  <si>
    <t>K/507/8503 - Storytelling for Tourism_Not Applicable</t>
  </si>
  <si>
    <t>K/507/8503 - Storytelling for Tourism_Not Yet Achieved</t>
  </si>
  <si>
    <t>K/507/8503 - Storytelling for Tourism_Pass</t>
  </si>
  <si>
    <t>K/507/8503 - Storytelling for Tourism_Merit</t>
  </si>
  <si>
    <t>K/507/8503 - Storytelling for Tourism_Distinction</t>
  </si>
  <si>
    <t>M/507/8504 - Tour Guiding_</t>
  </si>
  <si>
    <t>M/507/8504 - Tour Guiding_Not Applicable</t>
  </si>
  <si>
    <t>M/507/8504 - Tour Guiding_Not Yet Achieved</t>
  </si>
  <si>
    <t>M/507/8504 - Tour Guiding_Pass</t>
  </si>
  <si>
    <t>M/507/8504 - Tour Guiding_Merit</t>
  </si>
  <si>
    <t>M/507/8504 - Tour Guiding_Distinction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</si>
</sst>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FFCC99" tint="0"/>
      </patternFill>
    </fill>
  </fills>
  <borders count="3">
    <border>
      <left/>
      <right/>
      <top/>
      <bottom/>
      <diagonal/>
    </border>
    <border>
      <left style="medium"/>
      <right style="medium"/>
      <top style="medium"/>
      <bottom style="medium"/>
      <diagonal/>
    </border>
    <border>
      <left style="hair"/>
      <right style="hair"/>
      <top style="hair"/>
      <bottom style="hair"/>
      <diagonal/>
    </border>
  </borders>
  <cellStyleXfs count="1">
    <xf numFmtId="0" fontId="0"/>
  </cellStyleXfs>
  <cellXfs count="4">
    <xf numFmtId="0" applyNumberFormat="1" fontId="0" applyFont="1" xfId="0"/>
    <xf numFmtId="0" applyNumberFormat="1" fontId="1" applyFont="1" xfId="0"/>
    <xf numFmtId="0" applyNumberFormat="1" fontId="2" applyFont="1" fillId="2" applyFill="1" borderId="1" applyBorder="1" xfId="0"/>
    <xf numFmtId="0" applyNumberFormat="1" fontId="1" applyFont="1" fillId="3" applyFill="1" borderId="2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0" descr="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FG139"/>
  <sheetViews>
    <sheetView workbookViewId="0"/>
  </sheetViews>
  <sheetFormatPr defaultRowHeight="15"/>
  <cols>
    <col min="1" max="1" width="9.140625" customWidth="1" style="1"/>
    <col min="2" max="2" width="9.140625" customWidth="1" style="1"/>
    <col min="3" max="3" hidden="1" width="9.140625" customWidth="1" style="1"/>
    <col min="4" max="4" hidden="1" width="9.140625" customWidth="1" style="1"/>
    <col min="5" max="5" width="64.2999311174665" customWidth="1" style="1"/>
    <col min="6" max="6" width="13.6623862130301" customWidth="1" style="1"/>
    <col min="7" max="7" width="9.27873720441546" customWidth="1" style="1"/>
    <col min="8" max="8" hidden="1" width="9.140625" customWidth="1" style="1"/>
    <col min="9" max="9" hidden="1" width="9.140625" customWidth="1" style="1"/>
    <col min="10" max="10" hidden="1" width="9.140625" customWidth="1" style="1"/>
    <col min="11" max="49" width="9.140625" customWidth="1" style="1"/>
    <col min="50" max="50" hidden="1" width="9.140625" customWidth="1" style="1"/>
    <col min="51" max="51" hidden="1" width="9.140625" customWidth="1" style="1"/>
    <col min="52" max="52" hidden="1" width="9.140625" customWidth="1" style="1"/>
    <col min="53" max="53" hidden="1" width="9.140625" customWidth="1" style="1"/>
    <col min="54" max="54" hidden="1" width="9.140625" customWidth="1" style="1"/>
    <col min="55" max="55" hidden="1" width="9.140625" customWidth="1" style="1"/>
    <col min="56" max="56" hidden="1" width="9.140625" customWidth="1" style="1"/>
    <col min="57" max="99" width="9.140625" customWidth="1" style="1"/>
    <col min="100" max="100" hidden="1" width="9.140625" customWidth="1" style="1"/>
    <col min="101" max="101" hidden="1" width="9.140625" customWidth="1" style="1"/>
    <col min="102" max="102" hidden="1" width="9.140625" customWidth="1" style="1"/>
    <col min="103" max="103" hidden="1" width="9.140625" customWidth="1" style="1"/>
    <col min="104" max="104" hidden="1" width="9.140625" customWidth="1" style="1"/>
    <col min="105" max="105" hidden="1" width="9.140625" customWidth="1" style="1"/>
    <col min="106" max="106" hidden="1" width="9.140625" customWidth="1" style="1"/>
    <col min="107" max="107" hidden="1" width="9.140625" customWidth="1" style="1"/>
    <col min="108" max="108" hidden="1" width="9.140625" customWidth="1" style="1"/>
    <col min="109" max="119" width="9.140625" customWidth="1" style="1"/>
    <col min="120" max="120" hidden="1" width="9.140625" customWidth="1" style="1"/>
    <col min="121" max="121" hidden="1" width="9.140625" customWidth="1" style="1"/>
    <col min="122" max="122" hidden="1" width="9.140625" customWidth="1" style="1"/>
    <col min="123" max="123" hidden="1" width="9.140625" customWidth="1" style="1"/>
    <col min="124" max="124" hidden="1" width="9.140625" customWidth="1" style="1"/>
    <col min="125" max="139" width="9.140625" customWidth="1" style="1"/>
    <col min="140" max="140" hidden="1" width="9.140625" customWidth="1" style="1"/>
    <col min="141" max="141" width="9.140625" customWidth="1" style="1"/>
    <col min="142" max="142" hidden="1" width="9.140625" customWidth="1" style="1"/>
    <col min="143" max="159" width="9.140625" customWidth="1" style="1"/>
    <col min="160" max="160" hidden="1" width="9.140625" customWidth="1" style="1"/>
    <col min="161" max="161" hidden="1" width="9.140625" customWidth="1" style="1"/>
    <col min="162" max="162" hidden="1" width="9.140625" customWidth="1" style="1"/>
    <col min="163" max="163" hidden="1" width="9.140625" customWidth="1" style="1"/>
    <col min="164" max="164" hidden="1" width="9.140625" customWidth="1" style="1"/>
    <col min="165" max="16384" width="9.140625" customWidth="1" style="1"/>
  </cols>
  <sheetData>
    <row r="1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>
      <c r="AX2" s="1">
        <f>=Sum(UMSGroup)</f>
      </c>
      <c r="AY2" s="1">
        <f>=Sum(UMSGroup)/1800</f>
      </c>
      <c r="AZ2" s="1">
        <f>=SUMIF(GroupsGroup,1,MandatoryScoreGroup) &gt;= 100</f>
      </c>
      <c r="BA2" s="1">
        <f>=SUMIF(GroupsGroup,2,MandatoryScoreGroup) &gt;= 100</f>
      </c>
      <c r="BB2" s="1">
        <f>=IF(SUM(HurdleGroup)=0,TRUE,FALSE)</f>
      </c>
      <c r="BC2" s="1">
        <f>=AND(AZ2,BA2,BB2)</f>
      </c>
      <c r="BD2" s="1">
        <f>=VLOOKUP(1,RawMaxGradeCalc,2,FALSE)</f>
      </c>
      <c r="CV2" s="1" t="s">
        <v>21</v>
      </c>
      <c r="CW2" s="1">
        <f>=IF(VLOOKUP(CV2,UnitSelections,2,FALSE) ="Not Applicable",0,60)</f>
      </c>
      <c r="CX2" s="1">
        <f>=Sum(CW2/TotalGHL)</f>
      </c>
      <c r="CY2" s="1">
        <f>=Sum(CX2*1800)</f>
      </c>
      <c r="CZ2" s="1">
        <f>=Sum(0 % *CY2)</f>
      </c>
      <c r="DA2" s="1">
        <f>=Sum(50 % *CY2)</f>
      </c>
      <c r="DB2" s="1">
        <f>=Sum(60 % *CY2)</f>
      </c>
      <c r="DC2" s="1">
        <f>=Sum(72.5 % *CY2)</f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=IF(AND(RawUmsPercent*100&gt;=FD2,RawUmsPercent*100&lt;FE2),1, 0)</f>
      </c>
      <c r="FG2" s="1" t="s">
        <v>11</v>
      </c>
    </row>
    <row r="3">
      <c r="CV3" s="1" t="s">
        <v>23</v>
      </c>
      <c r="CW3" s="1">
        <f>=IF(VLOOKUP(CV3,UnitSelections,2,FALSE) ="Not Applicable",0,60)</f>
      </c>
      <c r="CX3" s="1">
        <f>=Sum(CW3/TotalGHL)</f>
      </c>
      <c r="CY3" s="1">
        <f>=Sum(CX3*1800)</f>
      </c>
      <c r="CZ3" s="1">
        <f>=Sum(0 % *CY3)</f>
      </c>
      <c r="DA3" s="1">
        <f>=Sum(50 % *CY3)</f>
      </c>
      <c r="DB3" s="1">
        <f>=Sum(60 % *CY3)</f>
      </c>
      <c r="DC3" s="1">
        <f>=Sum(72.5 % *CY3)</f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=IF(AND(RawUmsPercent*100&gt;=FD3,RawUmsPercent*100&lt;FE3),1, 0)</f>
      </c>
      <c r="FG3" s="1" t="s">
        <v>12</v>
      </c>
    </row>
    <row r="4">
      <c r="CV4" s="1" t="s">
        <v>25</v>
      </c>
      <c r="CW4" s="1">
        <f>=IF(VLOOKUP(CV4,UnitSelections,2,FALSE) ="Not Applicable",0,60)</f>
      </c>
      <c r="CX4" s="1">
        <f>=Sum(CW4/TotalGHL)</f>
      </c>
      <c r="CY4" s="1">
        <f>=Sum(CX4*1800)</f>
      </c>
      <c r="CZ4" s="1">
        <f>=Sum(0 % *CY4)</f>
      </c>
      <c r="DA4" s="1">
        <f>=Sum(50 % *CY4)</f>
      </c>
      <c r="DB4" s="1">
        <f>=Sum(60 % *CY4)</f>
      </c>
      <c r="DC4" s="1">
        <f>=Sum(72.5 % *CY4)</f>
      </c>
      <c r="DP4" s="1" t="s">
        <v>26</v>
      </c>
      <c r="DQ4" s="1">
        <f>=vlookup("H/507/8483 - The UK Travel and Tourism Industry",RawScores,5,FALSE)</f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=IF(AND(RawUmsPercent*100&gt;=FD4,RawUmsPercent*100&lt;FE4),1, 0)</f>
      </c>
      <c r="FG4" s="1" t="s">
        <v>13</v>
      </c>
    </row>
    <row r="5">
      <c r="E5" s="1" t="s">
        <v>27</v>
      </c>
      <c r="CV5" s="1" t="s">
        <v>28</v>
      </c>
      <c r="CW5" s="1">
        <f>=IF(VLOOKUP(CV5,UnitSelections,2,FALSE) ="Not Applicable",0,60)</f>
      </c>
      <c r="CX5" s="1">
        <f>=Sum(CW5/TotalGHL)</f>
      </c>
      <c r="CY5" s="1">
        <f>=Sum(CX5*1800)</f>
      </c>
      <c r="CZ5" s="1">
        <f>=Sum(0 % *CY5)</f>
      </c>
      <c r="DA5" s="1">
        <f>=Sum(50 % *CY5)</f>
      </c>
      <c r="DB5" s="1">
        <f>=Sum(60 % *CY5)</f>
      </c>
      <c r="DC5" s="1">
        <f>=Sum(72.5 % *CY5)</f>
      </c>
      <c r="DP5" s="1" t="s">
        <v>29</v>
      </c>
      <c r="DQ5" s="1">
        <f>=vlookup("H/507/8483 - The UK Travel and Tourism Industry",RawScores,6,FALSE)</f>
      </c>
      <c r="DR5" s="1">
        <v>33.333333333333336</v>
      </c>
      <c r="DS5" s="1">
        <v>0</v>
      </c>
      <c r="EJ5" s="1" t="s">
        <v>14</v>
      </c>
      <c r="FD5" s="1">
        <v>65</v>
      </c>
      <c r="FE5" s="1">
        <v>100.01</v>
      </c>
      <c r="FF5" s="1">
        <f>=IF(AND(RawUmsPercent*100&gt;=FD5,RawUmsPercent*100&lt;FE5),1, 0)</f>
      </c>
      <c r="FG5" s="1" t="s">
        <v>14</v>
      </c>
    </row>
    <row r="6">
      <c r="E6" s="1" t="s">
        <v>30</v>
      </c>
      <c r="CV6" s="1" t="s">
        <v>31</v>
      </c>
      <c r="CW6" s="1">
        <f>=IF(VLOOKUP(CV6,UnitSelections,2,FALSE) ="Not Applicable",0,60)</f>
      </c>
      <c r="CX6" s="1">
        <f>=Sum(CW6/TotalGHL)</f>
      </c>
      <c r="CY6" s="1">
        <f>=Sum(CX6*1800)</f>
      </c>
      <c r="CZ6" s="1">
        <f>=Sum(0 % *CY6)</f>
      </c>
      <c r="DA6" s="1">
        <f>=Sum(50 % *CY6)</f>
      </c>
      <c r="DB6" s="1">
        <f>=Sum(60 % *CY6)</f>
      </c>
      <c r="DC6" s="1">
        <f>=Sum(72.5 % *CY6)</f>
      </c>
      <c r="DP6" s="1" t="s">
        <v>32</v>
      </c>
      <c r="DQ6" s="1">
        <f>=vlookup("H/507/8483 - The UK Travel and Tourism Industry",RawScores,7,FALSE)</f>
      </c>
      <c r="DR6" s="1">
        <v>33.333333333333336</v>
      </c>
      <c r="DS6" s="1">
        <v>0</v>
      </c>
    </row>
    <row r="7">
      <c r="E7" s="1" t="s">
        <v>33</v>
      </c>
      <c r="F7" s="2">
        <f>=If(HasMet,(If(AND(COUNTIF(Selections,"Distinction")&gt;=3,COUNTIF(Selections,"Merit")=0,COUNTIF(Selections,"Pass")=0),"Distinction *",RawGrade)),"Not Yet Achieved") </f>
      </c>
      <c r="CV7" s="1" t="s">
        <v>34</v>
      </c>
      <c r="CW7" s="1">
        <f>=IF(VLOOKUP(CV7,UnitSelections,2,FALSE) ="Not Applicable",0,60)</f>
      </c>
      <c r="CX7" s="1">
        <f>=Sum(CW7/TotalGHL)</f>
      </c>
      <c r="CY7" s="1">
        <f>=Sum(CX7*1800)</f>
      </c>
      <c r="CZ7" s="1">
        <f>=Sum(0 % *CY7)</f>
      </c>
      <c r="DA7" s="1">
        <f>=Sum(50 % *CY7)</f>
      </c>
      <c r="DB7" s="1">
        <f>=Sum(60 % *CY7)</f>
      </c>
      <c r="DC7" s="1">
        <f>=Sum(72.5 % *CY7)</f>
      </c>
      <c r="DP7" s="1" t="s">
        <v>35</v>
      </c>
      <c r="DQ7" s="1">
        <f>=vlookup("H/507/8483 - The UK Travel and Tourism Industry",RawScores,8,FALSE)</f>
      </c>
      <c r="DR7" s="1">
        <v>33.333333333333336</v>
      </c>
      <c r="DS7" s="1">
        <v>0</v>
      </c>
    </row>
    <row r="8">
      <c r="E8" s="1" t="s">
        <v>36</v>
      </c>
      <c r="CV8" s="1" t="s">
        <v>37</v>
      </c>
      <c r="CW8" s="1">
        <f>=IF(VLOOKUP(CV8,UnitSelections,2,FALSE) ="Not Applicable",0,60)</f>
      </c>
      <c r="CX8" s="1">
        <f>=Sum(CW8/TotalGHL)</f>
      </c>
      <c r="CY8" s="1">
        <f>=Sum(CX8*1800)</f>
      </c>
      <c r="CZ8" s="1">
        <f>=Sum(0 % *CY8)</f>
      </c>
      <c r="DA8" s="1">
        <f>=Sum(50 % *CY8)</f>
      </c>
      <c r="DB8" s="1">
        <f>=Sum(60 % *CY8)</f>
      </c>
      <c r="DC8" s="1">
        <f>=Sum(72.5 % *CY8)</f>
      </c>
      <c r="DP8" s="1" t="s">
        <v>38</v>
      </c>
      <c r="DQ8" s="1">
        <v>0</v>
      </c>
      <c r="DR8" s="1">
        <v>0</v>
      </c>
      <c r="DS8" s="1">
        <v>0</v>
      </c>
    </row>
    <row r="9">
      <c r="CV9" s="1" t="s">
        <v>39</v>
      </c>
      <c r="CW9" s="1">
        <f>=IF(VLOOKUP(CV9,UnitSelections,2,FALSE) ="Not Applicable",0,60)</f>
      </c>
      <c r="CX9" s="1">
        <f>=Sum(CW9/TotalGHL)</f>
      </c>
      <c r="CY9" s="1">
        <f>=Sum(CX9*1800)</f>
      </c>
      <c r="CZ9" s="1">
        <f>=Sum(0 % *CY9)</f>
      </c>
      <c r="DA9" s="1">
        <f>=Sum(50 % *CY9)</f>
      </c>
      <c r="DB9" s="1">
        <f>=Sum(60 % *CY9)</f>
      </c>
      <c r="DC9" s="1">
        <f>=Sum(72.5 % *CY9)</f>
      </c>
      <c r="DP9" s="1" t="s">
        <v>40</v>
      </c>
      <c r="DQ9" s="1">
        <v>0</v>
      </c>
      <c r="DR9" s="1">
        <v>0</v>
      </c>
      <c r="DS9" s="1">
        <v>0</v>
      </c>
    </row>
    <row r="10">
      <c r="CV10" s="1" t="s">
        <v>41</v>
      </c>
      <c r="CW10" s="1">
        <f>=IF(VLOOKUP(CV10,UnitSelections,2,FALSE) ="Not Applicable",0,60)</f>
      </c>
      <c r="CX10" s="1">
        <f>=Sum(CW10/TotalGHL)</f>
      </c>
      <c r="CY10" s="1">
        <f>=Sum(CX10*1800)</f>
      </c>
      <c r="CZ10" s="1">
        <f>=Sum(0 % *CY10)</f>
      </c>
      <c r="DA10" s="1">
        <f>=Sum(50 % *CY10)</f>
      </c>
      <c r="DB10" s="1">
        <f>=Sum(60 % *CY10)</f>
      </c>
      <c r="DC10" s="1">
        <f>=Sum(72.5 % *CY10)</f>
      </c>
      <c r="DP10" s="1" t="s">
        <v>42</v>
      </c>
      <c r="DQ10" s="1">
        <f>=vlookup("K/507/8484 - Customer Service in Travel and Tourism",RawScores,5,FALSE)</f>
      </c>
      <c r="DR10" s="1">
        <v>0</v>
      </c>
      <c r="DS10" s="1">
        <v>1</v>
      </c>
    </row>
    <row r="11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>=IF(VLOOKUP(CV11,UnitSelections,2,FALSE) ="Not Applicable",0,60)</f>
      </c>
      <c r="CX11" s="1">
        <f>=Sum(CW11/TotalGHL)</f>
      </c>
      <c r="CY11" s="1">
        <f>=Sum(CX11*1800)</f>
      </c>
      <c r="CZ11" s="1">
        <f>=Sum(0 % *CY11)</f>
      </c>
      <c r="DA11" s="1">
        <f>=Sum(50 % *CY11)</f>
      </c>
      <c r="DB11" s="1">
        <f>=Sum(60 % *CY11)</f>
      </c>
      <c r="DC11" s="1">
        <f>=Sum(72.5 % *CY11)</f>
      </c>
      <c r="DP11" s="1" t="s">
        <v>49</v>
      </c>
      <c r="DQ11" s="1">
        <f>=vlookup("K/507/8484 - Customer Service in Travel and Tourism",RawScores,6,FALSE)</f>
      </c>
      <c r="DR11" s="1">
        <v>33.333333333333336</v>
      </c>
      <c r="DS11" s="1">
        <v>0</v>
      </c>
    </row>
    <row r="12">
      <c r="C12" s="1">
        <v>1</v>
      </c>
      <c r="D12" s="1">
        <v>1</v>
      </c>
      <c r="E12" s="1" t="s">
        <v>21</v>
      </c>
      <c r="F12" s="3" t="s">
        <v>11</v>
      </c>
      <c r="G12" s="1" t="s">
        <v>50</v>
      </c>
      <c r="H12" s="1">
        <f>=VLOOKUP(E12 &amp; "_" &amp; F12, InternalAssessment, 2,FALSE)</f>
      </c>
      <c r="I12" s="1">
        <f>=VLOOKUP(E12 &amp; "_" &amp; F12, InternalAssessment, 3,FALSE)</f>
      </c>
      <c r="J12" s="1">
        <f>=VLOOKUP(E12 &amp; "_" &amp; F12, InternalAssessment, 4,FALSE)</f>
      </c>
      <c r="CV12" s="1" t="s">
        <v>51</v>
      </c>
      <c r="CW12" s="1">
        <f>=IF(VLOOKUP(CV12,UnitSelections,2,FALSE) ="Not Applicable",0,60)</f>
      </c>
      <c r="CX12" s="1">
        <f>=Sum(CW12/TotalGHL)</f>
      </c>
      <c r="CY12" s="1">
        <f>=Sum(CX12*1800)</f>
      </c>
      <c r="CZ12" s="1">
        <f>=Sum(0 % *CY12)</f>
      </c>
      <c r="DA12" s="1">
        <f>=Sum(50 % *CY12)</f>
      </c>
      <c r="DB12" s="1">
        <f>=Sum(60 % *CY12)</f>
      </c>
      <c r="DC12" s="1">
        <f>=Sum(72.5 % *CY12)</f>
      </c>
      <c r="DP12" s="1" t="s">
        <v>52</v>
      </c>
      <c r="DQ12" s="1">
        <f>=vlookup("K/507/8484 - Customer Service in Travel and Tourism",RawScores,7,FALSE)</f>
      </c>
      <c r="DR12" s="1">
        <v>33.333333333333336</v>
      </c>
      <c r="DS12" s="1">
        <v>0</v>
      </c>
    </row>
    <row r="13">
      <c r="C13" s="1">
        <v>1</v>
      </c>
      <c r="D13" s="1">
        <v>2</v>
      </c>
      <c r="E13" s="1" t="s">
        <v>23</v>
      </c>
      <c r="F13" s="3" t="s">
        <v>11</v>
      </c>
      <c r="G13" s="1" t="s">
        <v>50</v>
      </c>
      <c r="H13" s="1">
        <f>=VLOOKUP(E13 &amp; "_" &amp; F13, InternalAssessment, 2,FALSE)</f>
      </c>
      <c r="I13" s="1">
        <f>=VLOOKUP(E13 &amp; "_" &amp; F13, InternalAssessment, 3,FALSE)</f>
      </c>
      <c r="J13" s="1">
        <f>=VLOOKUP(E13 &amp; "_" &amp; F13, InternalAssessment, 4,FALSE)</f>
      </c>
      <c r="CV13" s="1" t="s">
        <v>53</v>
      </c>
      <c r="CW13" s="1">
        <f>=IF(VLOOKUP(CV13,UnitSelections,2,FALSE) ="Not Applicable",0,60)</f>
      </c>
      <c r="CX13" s="1">
        <f>=Sum(CW13/TotalGHL)</f>
      </c>
      <c r="CY13" s="1">
        <f>=Sum(CX13*1800)</f>
      </c>
      <c r="CZ13" s="1">
        <f>=Sum(0 % *CY13)</f>
      </c>
      <c r="DA13" s="1">
        <f>=Sum(50 % *CY13)</f>
      </c>
      <c r="DB13" s="1">
        <f>=Sum(60 % *CY13)</f>
      </c>
      <c r="DC13" s="1">
        <f>=Sum(72.5 % *CY13)</f>
      </c>
      <c r="DP13" s="1" t="s">
        <v>54</v>
      </c>
      <c r="DQ13" s="1">
        <f>=vlookup("K/507/8484 - Customer Service in Travel and Tourism",RawScores,8,FALSE)</f>
      </c>
      <c r="DR13" s="1">
        <v>33.333333333333336</v>
      </c>
      <c r="DS13" s="1">
        <v>0</v>
      </c>
    </row>
    <row r="14">
      <c r="C14" s="1">
        <v>1</v>
      </c>
      <c r="D14" s="1">
        <v>3</v>
      </c>
      <c r="E14" s="1" t="s">
        <v>25</v>
      </c>
      <c r="F14" s="3" t="s">
        <v>11</v>
      </c>
      <c r="G14" s="1" t="s">
        <v>50</v>
      </c>
      <c r="H14" s="1">
        <f>=VLOOKUP(E14 &amp; "_" &amp; F14, InternalAssessment, 2,FALSE)</f>
      </c>
      <c r="I14" s="1">
        <f>=VLOOKUP(E14 &amp; "_" &amp; F14, InternalAssessment, 3,FALSE)</f>
      </c>
      <c r="J14" s="1">
        <f>=VLOOKUP(E14 &amp; "_" &amp; F14, InternalAssessment, 4,FALSE)</f>
      </c>
      <c r="CV14" s="1" t="s">
        <v>55</v>
      </c>
      <c r="CW14" s="1">
        <f>=IF(VLOOKUP(CV14,UnitSelections,2,FALSE) ="Not Applicable",0,60)</f>
      </c>
      <c r="CX14" s="1">
        <f>=Sum(CW14/TotalGHL)</f>
      </c>
      <c r="CY14" s="1">
        <f>=Sum(CX14*1800)</f>
      </c>
      <c r="CZ14" s="1">
        <f>=Sum(0 % *CY14)</f>
      </c>
      <c r="DA14" s="1">
        <f>=Sum(50 % *CY14)</f>
      </c>
      <c r="DB14" s="1">
        <f>=Sum(60 % *CY14)</f>
      </c>
      <c r="DC14" s="1">
        <f>=Sum(72.5 % *CY14)</f>
      </c>
      <c r="DP14" s="1" t="s">
        <v>56</v>
      </c>
      <c r="DQ14" s="1">
        <v>0</v>
      </c>
      <c r="DR14" s="1">
        <v>0</v>
      </c>
      <c r="DS14" s="1">
        <v>0</v>
      </c>
    </row>
    <row r="15">
      <c r="C15" s="1">
        <v>2</v>
      </c>
      <c r="D15" s="1">
        <v>4</v>
      </c>
      <c r="E15" s="1" t="s">
        <v>28</v>
      </c>
      <c r="F15" s="3" t="s">
        <v>17</v>
      </c>
      <c r="G15" s="1" t="s">
        <v>57</v>
      </c>
      <c r="H15" s="1">
        <f>=VLOOKUP(E15 &amp; "_" &amp; F15, InternalAssessment, 2,FALSE)</f>
      </c>
      <c r="I15" s="1">
        <f>=VLOOKUP(E15 &amp; "_" &amp; F15, InternalAssessment, 3,FALSE)</f>
      </c>
      <c r="J15" s="1">
        <f>=VLOOKUP(E15 &amp; "_" &amp; F15, InternalAssessment, 4,FALSE)</f>
      </c>
      <c r="CV15" s="1" t="s">
        <v>58</v>
      </c>
      <c r="CW15" s="1">
        <f>=IF(VLOOKUP(CV15,UnitSelections,2,FALSE) ="Not Applicable",0,60)</f>
      </c>
      <c r="CX15" s="1">
        <f>=Sum(CW15/TotalGHL)</f>
      </c>
      <c r="CY15" s="1">
        <f>=Sum(CX15*1800)</f>
      </c>
      <c r="CZ15" s="1">
        <f>=Sum(0 % *CY15)</f>
      </c>
      <c r="DA15" s="1">
        <f>=Sum(50 % *CY15)</f>
      </c>
      <c r="DB15" s="1">
        <f>=Sum(60 % *CY15)</f>
      </c>
      <c r="DC15" s="1">
        <f>=Sum(72.5 % *CY15)</f>
      </c>
      <c r="DP15" s="1" t="s">
        <v>59</v>
      </c>
      <c r="DQ15" s="1">
        <v>0</v>
      </c>
      <c r="DR15" s="1">
        <v>0</v>
      </c>
      <c r="DS15" s="1">
        <v>0</v>
      </c>
    </row>
    <row r="16">
      <c r="C16" s="1">
        <v>2</v>
      </c>
      <c r="D16" s="1">
        <v>5</v>
      </c>
      <c r="E16" s="1" t="s">
        <v>31</v>
      </c>
      <c r="F16" s="3" t="s">
        <v>17</v>
      </c>
      <c r="G16" s="1" t="s">
        <v>57</v>
      </c>
      <c r="H16" s="1">
        <f>=VLOOKUP(E16 &amp; "_" &amp; F16, InternalAssessment, 2,FALSE)</f>
      </c>
      <c r="I16" s="1">
        <f>=VLOOKUP(E16 &amp; "_" &amp; F16, InternalAssessment, 3,FALSE)</f>
      </c>
      <c r="J16" s="1">
        <f>=VLOOKUP(E16 &amp; "_" &amp; F16, InternalAssessment, 4,FALSE)</f>
      </c>
      <c r="CV16" s="1" t="s">
        <v>60</v>
      </c>
      <c r="CW16" s="1">
        <f>=IF(VLOOKUP(CV16,UnitSelections,2,FALSE) ="Not Applicable",0,60)</f>
      </c>
      <c r="CX16" s="1">
        <f>=Sum(CW16/TotalGHL)</f>
      </c>
      <c r="CY16" s="1">
        <f>=Sum(CX16*1800)</f>
      </c>
      <c r="CZ16" s="1">
        <f>=Sum(0 % *CY16)</f>
      </c>
      <c r="DA16" s="1">
        <f>=Sum(50 % *CY16)</f>
      </c>
      <c r="DB16" s="1">
        <f>=Sum(60 % *CY16)</f>
      </c>
      <c r="DC16" s="1">
        <f>=Sum(72.5 % *CY16)</f>
      </c>
      <c r="DP16" s="1" t="s">
        <v>61</v>
      </c>
      <c r="DQ16" s="1">
        <f>=vlookup("M/507/8485 - Preparing for a Career in Travel and Tourism",RawScores,5,FALSE)</f>
      </c>
      <c r="DR16" s="1">
        <v>0</v>
      </c>
      <c r="DS16" s="1">
        <v>1</v>
      </c>
    </row>
    <row r="17">
      <c r="C17" s="1">
        <v>2</v>
      </c>
      <c r="D17" s="1">
        <v>6</v>
      </c>
      <c r="E17" s="1" t="s">
        <v>34</v>
      </c>
      <c r="F17" s="3" t="s">
        <v>17</v>
      </c>
      <c r="G17" s="1" t="s">
        <v>57</v>
      </c>
      <c r="H17" s="1">
        <f>=VLOOKUP(E17 &amp; "_" &amp; F17, InternalAssessment, 2,FALSE)</f>
      </c>
      <c r="I17" s="1">
        <f>=VLOOKUP(E17 &amp; "_" &amp; F17, InternalAssessment, 3,FALSE)</f>
      </c>
      <c r="J17" s="1">
        <f>=VLOOKUP(E17 &amp; "_" &amp; F17, InternalAssessment, 4,FALSE)</f>
      </c>
      <c r="CV17" s="1" t="s">
        <v>62</v>
      </c>
      <c r="CW17" s="1">
        <f>=IF(VLOOKUP(CV17,UnitSelections,2,FALSE) ="Not Applicable",0,60)</f>
      </c>
      <c r="CX17" s="1">
        <f>=Sum(CW17/TotalGHL)</f>
      </c>
      <c r="CY17" s="1">
        <f>=Sum(CX17*1800)</f>
      </c>
      <c r="CZ17" s="1">
        <f>=Sum(0 % *CY17)</f>
      </c>
      <c r="DA17" s="1">
        <f>=Sum(50 % *CY17)</f>
      </c>
      <c r="DB17" s="1">
        <f>=Sum(60 % *CY17)</f>
      </c>
      <c r="DC17" s="1">
        <f>=Sum(72.5 % *CY17)</f>
      </c>
      <c r="DP17" s="1" t="s">
        <v>63</v>
      </c>
      <c r="DQ17" s="1">
        <f>=vlookup("M/507/8485 - Preparing for a Career in Travel and Tourism",RawScores,6,FALSE)</f>
      </c>
      <c r="DR17" s="1">
        <v>33.333333333333336</v>
      </c>
      <c r="DS17" s="1">
        <v>0</v>
      </c>
    </row>
    <row r="18">
      <c r="C18" s="1">
        <v>2</v>
      </c>
      <c r="D18" s="1">
        <v>7</v>
      </c>
      <c r="E18" s="1" t="s">
        <v>37</v>
      </c>
      <c r="F18" s="3" t="s">
        <v>17</v>
      </c>
      <c r="G18" s="1" t="s">
        <v>57</v>
      </c>
      <c r="H18" s="1">
        <f>=VLOOKUP(E18 &amp; "_" &amp; F18, InternalAssessment, 2,FALSE)</f>
      </c>
      <c r="I18" s="1">
        <f>=VLOOKUP(E18 &amp; "_" &amp; F18, InternalAssessment, 3,FALSE)</f>
      </c>
      <c r="J18" s="1">
        <f>=VLOOKUP(E18 &amp; "_" &amp; F18, InternalAssessment, 4,FALSE)</f>
      </c>
      <c r="CV18" s="1" t="s">
        <v>64</v>
      </c>
      <c r="CW18" s="1">
        <f>=IF(VLOOKUP(CV18,UnitSelections,2,FALSE) ="Not Applicable",0,60)</f>
      </c>
      <c r="CX18" s="1">
        <f>=Sum(CW18/TotalGHL)</f>
      </c>
      <c r="CY18" s="1">
        <f>=Sum(CX18*1800)</f>
      </c>
      <c r="CZ18" s="1">
        <f>=Sum(0 % *CY18)</f>
      </c>
      <c r="DA18" s="1">
        <f>=Sum(50 % *CY18)</f>
      </c>
      <c r="DB18" s="1">
        <f>=Sum(60 % *CY18)</f>
      </c>
      <c r="DC18" s="1">
        <f>=Sum(72.5 % *CY18)</f>
      </c>
      <c r="DP18" s="1" t="s">
        <v>65</v>
      </c>
      <c r="DQ18" s="1">
        <f>=vlookup("M/507/8485 - Preparing for a Career in Travel and Tourism",RawScores,7,FALSE)</f>
      </c>
      <c r="DR18" s="1">
        <v>33.333333333333336</v>
      </c>
      <c r="DS18" s="1">
        <v>0</v>
      </c>
    </row>
    <row r="19">
      <c r="C19" s="1">
        <v>2</v>
      </c>
      <c r="D19" s="1">
        <v>8</v>
      </c>
      <c r="E19" s="1" t="s">
        <v>39</v>
      </c>
      <c r="F19" s="3" t="s">
        <v>17</v>
      </c>
      <c r="G19" s="1" t="s">
        <v>57</v>
      </c>
      <c r="H19" s="1">
        <f>=VLOOKUP(E19 &amp; "_" &amp; F19, InternalAssessment, 2,FALSE)</f>
      </c>
      <c r="I19" s="1">
        <f>=VLOOKUP(E19 &amp; "_" &amp; F19, InternalAssessment, 3,FALSE)</f>
      </c>
      <c r="J19" s="1">
        <f>=VLOOKUP(E19 &amp; "_" &amp; F19, InternalAssessment, 4,FALSE)</f>
      </c>
      <c r="CV19" s="1" t="s">
        <v>66</v>
      </c>
      <c r="CW19" s="1">
        <f>=IF(VLOOKUP(CV19,UnitSelections,2,FALSE) ="Not Applicable",0,60)</f>
      </c>
      <c r="CX19" s="1">
        <f>=Sum(CW19/TotalGHL)</f>
      </c>
      <c r="CY19" s="1">
        <f>=Sum(CX19*1800)</f>
      </c>
      <c r="CZ19" s="1">
        <f>=Sum(0 % *CY19)</f>
      </c>
      <c r="DA19" s="1">
        <f>=Sum(50 % *CY19)</f>
      </c>
      <c r="DB19" s="1">
        <f>=Sum(60 % *CY19)</f>
      </c>
      <c r="DC19" s="1">
        <f>=Sum(72.5 % *CY19)</f>
      </c>
      <c r="DP19" s="1" t="s">
        <v>67</v>
      </c>
      <c r="DQ19" s="1">
        <f>=vlookup("M/507/8485 - Preparing for a Career in Travel and Tourism",RawScores,8,FALSE)</f>
      </c>
      <c r="DR19" s="1">
        <v>33.333333333333336</v>
      </c>
      <c r="DS19" s="1">
        <v>0</v>
      </c>
    </row>
    <row r="20">
      <c r="C20" s="1">
        <v>2</v>
      </c>
      <c r="D20" s="1">
        <v>9</v>
      </c>
      <c r="E20" s="1" t="s">
        <v>41</v>
      </c>
      <c r="F20" s="3" t="s">
        <v>17</v>
      </c>
      <c r="G20" s="1" t="s">
        <v>57</v>
      </c>
      <c r="H20" s="1">
        <f>=VLOOKUP(E20 &amp; "_" &amp; F20, InternalAssessment, 2,FALSE)</f>
      </c>
      <c r="I20" s="1">
        <f>=VLOOKUP(E20 &amp; "_" &amp; F20, InternalAssessment, 3,FALSE)</f>
      </c>
      <c r="J20" s="1">
        <f>=VLOOKUP(E20 &amp; "_" &amp; F20, InternalAssessment, 4,FALSE)</f>
      </c>
      <c r="CV20" s="1" t="s">
        <v>68</v>
      </c>
      <c r="CW20" s="1">
        <f>=IF(VLOOKUP(CV20,UnitSelections,2,FALSE) ="Not Applicable",0,60)</f>
      </c>
      <c r="CX20" s="1">
        <f>=Sum(CW20/TotalGHL)</f>
      </c>
      <c r="CY20" s="1">
        <f>=Sum(CX20*1800)</f>
      </c>
      <c r="CZ20" s="1">
        <f>=Sum(0 % *CY20)</f>
      </c>
      <c r="DA20" s="1">
        <f>=Sum(50 % *CY20)</f>
      </c>
      <c r="DB20" s="1">
        <f>=Sum(60 % *CY20)</f>
      </c>
      <c r="DC20" s="1">
        <f>=Sum(72.5 % *CY20)</f>
      </c>
      <c r="DP20" s="1" t="s">
        <v>69</v>
      </c>
      <c r="DQ20" s="1">
        <v>0</v>
      </c>
      <c r="DR20" s="1">
        <v>0</v>
      </c>
      <c r="DS20" s="1">
        <v>0</v>
      </c>
    </row>
    <row r="21">
      <c r="C21" s="1">
        <v>2</v>
      </c>
      <c r="D21" s="1">
        <v>10</v>
      </c>
      <c r="E21" s="1" t="s">
        <v>48</v>
      </c>
      <c r="F21" s="3" t="s">
        <v>17</v>
      </c>
      <c r="G21" s="1" t="s">
        <v>57</v>
      </c>
      <c r="H21" s="1">
        <f>=VLOOKUP(E21 &amp; "_" &amp; F21, InternalAssessment, 2,FALSE)</f>
      </c>
      <c r="I21" s="1">
        <f>=VLOOKUP(E21 &amp; "_" &amp; F21, InternalAssessment, 3,FALSE)</f>
      </c>
      <c r="J21" s="1">
        <f>=VLOOKUP(E21 &amp; "_" &amp; F21, InternalAssessment, 4,FALSE)</f>
      </c>
      <c r="CV21" s="1" t="s">
        <v>70</v>
      </c>
      <c r="CW21" s="1">
        <f>=IF(VLOOKUP(CV21,UnitSelections,2,FALSE) ="Not Applicable",0,60)</f>
      </c>
      <c r="CX21" s="1">
        <f>=Sum(CW21/TotalGHL)</f>
      </c>
      <c r="CY21" s="1">
        <f>=Sum(CX21*1800)</f>
      </c>
      <c r="CZ21" s="1">
        <f>=Sum(0 % *CY21)</f>
      </c>
      <c r="DA21" s="1">
        <f>=Sum(50 % *CY21)</f>
      </c>
      <c r="DB21" s="1">
        <f>=Sum(60 % *CY21)</f>
      </c>
      <c r="DC21" s="1">
        <f>=Sum(72.5 % *CY21)</f>
      </c>
      <c r="DP21" s="1" t="s">
        <v>71</v>
      </c>
      <c r="DQ21" s="1">
        <v>0</v>
      </c>
      <c r="DR21" s="1">
        <v>0</v>
      </c>
      <c r="DS21" s="1">
        <v>0</v>
      </c>
    </row>
    <row r="22">
      <c r="C22" s="1">
        <v>2</v>
      </c>
      <c r="D22" s="1">
        <v>11</v>
      </c>
      <c r="E22" s="1" t="s">
        <v>51</v>
      </c>
      <c r="F22" s="3" t="s">
        <v>17</v>
      </c>
      <c r="G22" s="1" t="s">
        <v>57</v>
      </c>
      <c r="H22" s="1">
        <f>=VLOOKUP(E22 &amp; "_" &amp; F22, InternalAssessment, 2,FALSE)</f>
      </c>
      <c r="I22" s="1">
        <f>=VLOOKUP(E22 &amp; "_" &amp; F22, InternalAssessment, 3,FALSE)</f>
      </c>
      <c r="J22" s="1">
        <f>=VLOOKUP(E22 &amp; "_" &amp; F22, InternalAssessment, 4,FALSE)</f>
      </c>
      <c r="CV22" s="1" t="s">
        <v>72</v>
      </c>
      <c r="CW22" s="1">
        <f>=IF(VLOOKUP(CV22,UnitSelections,2,FALSE) ="Not Applicable",0,60)</f>
      </c>
      <c r="CX22" s="1">
        <f>=Sum(CW22/TotalGHL)</f>
      </c>
      <c r="CY22" s="1">
        <f>=Sum(CX22*1800)</f>
      </c>
      <c r="CZ22" s="1">
        <f>=Sum(0 % *CY22)</f>
      </c>
      <c r="DA22" s="1">
        <f>=Sum(50 % *CY22)</f>
      </c>
      <c r="DB22" s="1">
        <f>=Sum(60 % *CY22)</f>
      </c>
      <c r="DC22" s="1">
        <f>=Sum(72.5 % *CY22)</f>
      </c>
      <c r="DP22" s="1" t="s">
        <v>73</v>
      </c>
      <c r="DQ22" s="1">
        <f>=vlookup("T/507/8486 - Travel and Tourism Destinations",RawScores,5,FALSE)</f>
      </c>
      <c r="DR22" s="1">
        <v>0</v>
      </c>
      <c r="DS22" s="1">
        <v>1</v>
      </c>
    </row>
    <row r="23">
      <c r="C23" s="1">
        <v>2</v>
      </c>
      <c r="D23" s="1">
        <v>12</v>
      </c>
      <c r="E23" s="1" t="s">
        <v>53</v>
      </c>
      <c r="F23" s="3" t="s">
        <v>17</v>
      </c>
      <c r="G23" s="1" t="s">
        <v>57</v>
      </c>
      <c r="H23" s="1">
        <f>=VLOOKUP(E23 &amp; "_" &amp; F23, InternalAssessment, 2,FALSE)</f>
      </c>
      <c r="I23" s="1">
        <f>=VLOOKUP(E23 &amp; "_" &amp; F23, InternalAssessment, 3,FALSE)</f>
      </c>
      <c r="J23" s="1">
        <f>=VLOOKUP(E23 &amp; "_" &amp; F23, InternalAssessment, 4,FALSE)</f>
      </c>
      <c r="CV23" s="1" t="s">
        <v>74</v>
      </c>
      <c r="CW23" s="1">
        <f>=IF(VLOOKUP(CV23,UnitSelections,2,FALSE) ="Not Applicable",0,60)</f>
      </c>
      <c r="CX23" s="1">
        <f>=Sum(CW23/TotalGHL)</f>
      </c>
      <c r="CY23" s="1">
        <f>=Sum(CX23*1800)</f>
      </c>
      <c r="CZ23" s="1">
        <f>=Sum(0 % *CY23)</f>
      </c>
      <c r="DA23" s="1">
        <f>=Sum(50 % *CY23)</f>
      </c>
      <c r="DB23" s="1">
        <f>=Sum(60 % *CY23)</f>
      </c>
      <c r="DC23" s="1">
        <f>=Sum(72.5 % *CY23)</f>
      </c>
      <c r="DP23" s="1" t="s">
        <v>75</v>
      </c>
      <c r="DQ23" s="1">
        <f>=vlookup("T/507/8486 - Travel and Tourism Destinations",RawScores,6,FALSE)</f>
      </c>
      <c r="DR23" s="1">
        <v>6.666666666666667</v>
      </c>
      <c r="DS23" s="1">
        <v>0</v>
      </c>
    </row>
    <row r="24">
      <c r="C24" s="1">
        <v>2</v>
      </c>
      <c r="D24" s="1">
        <v>13</v>
      </c>
      <c r="E24" s="1" t="s">
        <v>55</v>
      </c>
      <c r="F24" s="3" t="s">
        <v>17</v>
      </c>
      <c r="G24" s="1" t="s">
        <v>57</v>
      </c>
      <c r="H24" s="1">
        <f>=VLOOKUP(E24 &amp; "_" &amp; F24, InternalAssessment, 2,FALSE)</f>
      </c>
      <c r="I24" s="1">
        <f>=VLOOKUP(E24 &amp; "_" &amp; F24, InternalAssessment, 3,FALSE)</f>
      </c>
      <c r="J24" s="1">
        <f>=VLOOKUP(E24 &amp; "_" &amp; F24, InternalAssessment, 4,FALSE)</f>
      </c>
      <c r="CV24" s="1" t="s">
        <v>76</v>
      </c>
      <c r="CW24" s="1">
        <f>=IF(VLOOKUP(CV24,UnitSelections,2,FALSE) ="Not Applicable",0,60)</f>
      </c>
      <c r="CX24" s="1">
        <f>=Sum(CW24/TotalGHL)</f>
      </c>
      <c r="CY24" s="1">
        <f>=Sum(CX24*1800)</f>
      </c>
      <c r="CZ24" s="1">
        <f>=Sum(0 % *CY24)</f>
      </c>
      <c r="DA24" s="1">
        <f>=Sum(50 % *CY24)</f>
      </c>
      <c r="DB24" s="1">
        <f>=Sum(60 % *CY24)</f>
      </c>
      <c r="DC24" s="1">
        <f>=Sum(72.5 % *CY24)</f>
      </c>
      <c r="DP24" s="1" t="s">
        <v>77</v>
      </c>
      <c r="DQ24" s="1">
        <f>=vlookup("T/507/8486 - Travel and Tourism Destinations",RawScores,7,FALSE)</f>
      </c>
      <c r="DR24" s="1">
        <v>6.666666666666667</v>
      </c>
      <c r="DS24" s="1">
        <v>0</v>
      </c>
    </row>
    <row r="25">
      <c r="C25" s="1">
        <v>2</v>
      </c>
      <c r="D25" s="1">
        <v>14</v>
      </c>
      <c r="E25" s="1" t="s">
        <v>58</v>
      </c>
      <c r="F25" s="3" t="s">
        <v>17</v>
      </c>
      <c r="G25" s="1" t="s">
        <v>57</v>
      </c>
      <c r="H25" s="1">
        <f>=VLOOKUP(E25 &amp; "_" &amp; F25, InternalAssessment, 2,FALSE)</f>
      </c>
      <c r="I25" s="1">
        <f>=VLOOKUP(E25 &amp; "_" &amp; F25, InternalAssessment, 3,FALSE)</f>
      </c>
      <c r="J25" s="1">
        <f>=VLOOKUP(E25 &amp; "_" &amp; F25, InternalAssessment, 4,FALSE)</f>
      </c>
      <c r="CW25" s="1">
        <f>=Sum(CW2:CW24)</f>
      </c>
      <c r="DP25" s="1" t="s">
        <v>78</v>
      </c>
      <c r="DQ25" s="1">
        <f>=vlookup("T/507/8486 - Travel and Tourism Destinations",RawScores,8,FALSE)</f>
      </c>
      <c r="DR25" s="1">
        <v>6.666666666666667</v>
      </c>
      <c r="DS25" s="1">
        <v>0</v>
      </c>
    </row>
    <row r="26">
      <c r="C26" s="1">
        <v>2</v>
      </c>
      <c r="D26" s="1">
        <v>15</v>
      </c>
      <c r="E26" s="1" t="s">
        <v>60</v>
      </c>
      <c r="F26" s="3" t="s">
        <v>17</v>
      </c>
      <c r="G26" s="1" t="s">
        <v>57</v>
      </c>
      <c r="H26" s="1">
        <f>=VLOOKUP(E26 &amp; "_" &amp; F26, InternalAssessment, 2,FALSE)</f>
      </c>
      <c r="I26" s="1">
        <f>=VLOOKUP(E26 &amp; "_" &amp; F26, InternalAssessment, 3,FALSE)</f>
      </c>
      <c r="J26" s="1">
        <f>=VLOOKUP(E26 &amp; "_" &amp; F26, InternalAssessment, 4,FALSE)</f>
      </c>
      <c r="DP26" s="1" t="s">
        <v>79</v>
      </c>
      <c r="DQ26" s="1">
        <v>0</v>
      </c>
      <c r="DR26" s="1">
        <v>0</v>
      </c>
      <c r="DS26" s="1">
        <v>0</v>
      </c>
    </row>
    <row r="27">
      <c r="C27" s="1">
        <v>2</v>
      </c>
      <c r="D27" s="1">
        <v>16</v>
      </c>
      <c r="E27" s="1" t="s">
        <v>62</v>
      </c>
      <c r="F27" s="3" t="s">
        <v>17</v>
      </c>
      <c r="G27" s="1" t="s">
        <v>57</v>
      </c>
      <c r="H27" s="1">
        <f>=VLOOKUP(E27 &amp; "_" &amp; F27, InternalAssessment, 2,FALSE)</f>
      </c>
      <c r="I27" s="1">
        <f>=VLOOKUP(E27 &amp; "_" &amp; F27, InternalAssessment, 3,FALSE)</f>
      </c>
      <c r="J27" s="1">
        <f>=VLOOKUP(E27 &amp; "_" &amp; F27, InternalAssessment, 4,FALSE)</f>
      </c>
      <c r="DP27" s="1" t="s">
        <v>80</v>
      </c>
      <c r="DQ27" s="1">
        <v>0</v>
      </c>
      <c r="DR27" s="1">
        <v>0</v>
      </c>
      <c r="DS27" s="1">
        <v>0</v>
      </c>
    </row>
    <row r="28">
      <c r="C28" s="1">
        <v>2</v>
      </c>
      <c r="D28" s="1">
        <v>17</v>
      </c>
      <c r="E28" s="1" t="s">
        <v>64</v>
      </c>
      <c r="F28" s="3" t="s">
        <v>17</v>
      </c>
      <c r="G28" s="1" t="s">
        <v>57</v>
      </c>
      <c r="H28" s="1">
        <f>=VLOOKUP(E28 &amp; "_" &amp; F28, InternalAssessment, 2,FALSE)</f>
      </c>
      <c r="I28" s="1">
        <f>=VLOOKUP(E28 &amp; "_" &amp; F28, InternalAssessment, 3,FALSE)</f>
      </c>
      <c r="J28" s="1">
        <f>=VLOOKUP(E28 &amp; "_" &amp; F28, InternalAssessment, 4,FALSE)</f>
      </c>
      <c r="DP28" s="1" t="s">
        <v>81</v>
      </c>
      <c r="DQ28" s="1">
        <f>=vlookup("A/507/8487 - UK Visitor Attractions",RawScores,5,FALSE)</f>
      </c>
      <c r="DR28" s="1">
        <v>0</v>
      </c>
      <c r="DS28" s="1">
        <v>1</v>
      </c>
    </row>
    <row r="29">
      <c r="C29" s="1">
        <v>2</v>
      </c>
      <c r="D29" s="1">
        <v>18</v>
      </c>
      <c r="E29" s="1" t="s">
        <v>66</v>
      </c>
      <c r="F29" s="3" t="s">
        <v>17</v>
      </c>
      <c r="G29" s="1" t="s">
        <v>57</v>
      </c>
      <c r="H29" s="1">
        <f>=VLOOKUP(E29 &amp; "_" &amp; F29, InternalAssessment, 2,FALSE)</f>
      </c>
      <c r="I29" s="1">
        <f>=VLOOKUP(E29 &amp; "_" &amp; F29, InternalAssessment, 3,FALSE)</f>
      </c>
      <c r="J29" s="1">
        <f>=VLOOKUP(E29 &amp; "_" &amp; F29, InternalAssessment, 4,FALSE)</f>
      </c>
      <c r="DP29" s="1" t="s">
        <v>82</v>
      </c>
      <c r="DQ29" s="1">
        <f>=vlookup("A/507/8487 - UK Visitor Attractions",RawScores,6,FALSE)</f>
      </c>
      <c r="DR29" s="1">
        <v>6.666666666666667</v>
      </c>
      <c r="DS29" s="1">
        <v>0</v>
      </c>
    </row>
    <row r="30">
      <c r="C30" s="1">
        <v>2</v>
      </c>
      <c r="D30" s="1">
        <v>19</v>
      </c>
      <c r="E30" s="1" t="s">
        <v>68</v>
      </c>
      <c r="F30" s="3" t="s">
        <v>17</v>
      </c>
      <c r="G30" s="1" t="s">
        <v>57</v>
      </c>
      <c r="H30" s="1">
        <f>=VLOOKUP(E30 &amp; "_" &amp; F30, InternalAssessment, 2,FALSE)</f>
      </c>
      <c r="I30" s="1">
        <f>=VLOOKUP(E30 &amp; "_" &amp; F30, InternalAssessment, 3,FALSE)</f>
      </c>
      <c r="J30" s="1">
        <f>=VLOOKUP(E30 &amp; "_" &amp; F30, InternalAssessment, 4,FALSE)</f>
      </c>
      <c r="DP30" s="1" t="s">
        <v>83</v>
      </c>
      <c r="DQ30" s="1">
        <f>=vlookup("A/507/8487 - UK Visitor Attractions",RawScores,7,FALSE)</f>
      </c>
      <c r="DR30" s="1">
        <v>6.666666666666667</v>
      </c>
      <c r="DS30" s="1">
        <v>0</v>
      </c>
    </row>
    <row r="31">
      <c r="C31" s="1">
        <v>2</v>
      </c>
      <c r="D31" s="1">
        <v>20</v>
      </c>
      <c r="E31" s="1" t="s">
        <v>70</v>
      </c>
      <c r="F31" s="3" t="s">
        <v>17</v>
      </c>
      <c r="G31" s="1" t="s">
        <v>57</v>
      </c>
      <c r="H31" s="1">
        <f>=VLOOKUP(E31 &amp; "_" &amp; F31, InternalAssessment, 2,FALSE)</f>
      </c>
      <c r="I31" s="1">
        <f>=VLOOKUP(E31 &amp; "_" &amp; F31, InternalAssessment, 3,FALSE)</f>
      </c>
      <c r="J31" s="1">
        <f>=VLOOKUP(E31 &amp; "_" &amp; F31, InternalAssessment, 4,FALSE)</f>
      </c>
      <c r="DP31" s="1" t="s">
        <v>84</v>
      </c>
      <c r="DQ31" s="1">
        <f>=vlookup("A/507/8487 - UK Visitor Attractions",RawScores,8,FALSE)</f>
      </c>
      <c r="DR31" s="1">
        <v>6.666666666666667</v>
      </c>
      <c r="DS31" s="1">
        <v>0</v>
      </c>
    </row>
    <row r="32">
      <c r="C32" s="1">
        <v>2</v>
      </c>
      <c r="D32" s="1">
        <v>21</v>
      </c>
      <c r="E32" s="1" t="s">
        <v>72</v>
      </c>
      <c r="F32" s="3" t="s">
        <v>17</v>
      </c>
      <c r="G32" s="1" t="s">
        <v>57</v>
      </c>
      <c r="H32" s="1">
        <f>=VLOOKUP(E32 &amp; "_" &amp; F32, InternalAssessment, 2,FALSE)</f>
      </c>
      <c r="I32" s="1">
        <f>=VLOOKUP(E32 &amp; "_" &amp; F32, InternalAssessment, 3,FALSE)</f>
      </c>
      <c r="J32" s="1">
        <f>=VLOOKUP(E32 &amp; "_" &amp; F32, InternalAssessment, 4,FALSE)</f>
      </c>
      <c r="DP32" s="1" t="s">
        <v>85</v>
      </c>
      <c r="DQ32" s="1">
        <v>0</v>
      </c>
      <c r="DR32" s="1">
        <v>0</v>
      </c>
      <c r="DS32" s="1">
        <v>0</v>
      </c>
    </row>
    <row r="33">
      <c r="C33" s="1">
        <v>2</v>
      </c>
      <c r="D33" s="1">
        <v>22</v>
      </c>
      <c r="E33" s="1" t="s">
        <v>74</v>
      </c>
      <c r="F33" s="3" t="s">
        <v>17</v>
      </c>
      <c r="G33" s="1" t="s">
        <v>57</v>
      </c>
      <c r="H33" s="1">
        <f>=VLOOKUP(E33 &amp; "_" &amp; F33, InternalAssessment, 2,FALSE)</f>
      </c>
      <c r="I33" s="1">
        <f>=VLOOKUP(E33 &amp; "_" &amp; F33, InternalAssessment, 3,FALSE)</f>
      </c>
      <c r="J33" s="1">
        <f>=VLOOKUP(E33 &amp; "_" &amp; F33, InternalAssessment, 4,FALSE)</f>
      </c>
      <c r="DP33" s="1" t="s">
        <v>86</v>
      </c>
      <c r="DQ33" s="1">
        <v>0</v>
      </c>
      <c r="DR33" s="1">
        <v>0</v>
      </c>
      <c r="DS33" s="1">
        <v>0</v>
      </c>
    </row>
    <row r="34">
      <c r="C34" s="1">
        <v>2</v>
      </c>
      <c r="D34" s="1">
        <v>23</v>
      </c>
      <c r="E34" s="1" t="s">
        <v>76</v>
      </c>
      <c r="F34" s="3" t="s">
        <v>17</v>
      </c>
      <c r="G34" s="1" t="s">
        <v>57</v>
      </c>
      <c r="H34" s="1">
        <f>=VLOOKUP(E34 &amp; "_" &amp; F34, InternalAssessment, 2,FALSE)</f>
      </c>
      <c r="I34" s="1">
        <f>=VLOOKUP(E34 &amp; "_" &amp; F34, InternalAssessment, 3,FALSE)</f>
      </c>
      <c r="J34" s="1">
        <f>=VLOOKUP(E34 &amp; "_" &amp; F34, InternalAssessment, 4,FALSE)</f>
      </c>
      <c r="DP34" s="1" t="s">
        <v>87</v>
      </c>
      <c r="DQ34" s="1">
        <f>=vlookup("F/507/8488 - Hospitality in Travel and Tourism",RawScores,5,FALSE)</f>
      </c>
      <c r="DR34" s="1">
        <v>0</v>
      </c>
      <c r="DS34" s="1">
        <v>1</v>
      </c>
    </row>
    <row r="35">
      <c r="DP35" s="1" t="s">
        <v>88</v>
      </c>
      <c r="DQ35" s="1">
        <f>=vlookup("F/507/8488 - Hospitality in Travel and Tourism",RawScores,6,FALSE)</f>
      </c>
      <c r="DR35" s="1">
        <v>6.666666666666667</v>
      </c>
      <c r="DS35" s="1">
        <v>0</v>
      </c>
    </row>
    <row r="36">
      <c r="DP36" s="1" t="s">
        <v>89</v>
      </c>
      <c r="DQ36" s="1">
        <f>=vlookup("F/507/8488 - Hospitality in Travel and Tourism",RawScores,7,FALSE)</f>
      </c>
      <c r="DR36" s="1">
        <v>6.666666666666667</v>
      </c>
      <c r="DS36" s="1">
        <v>0</v>
      </c>
    </row>
    <row r="37">
      <c r="DP37" s="1" t="s">
        <v>90</v>
      </c>
      <c r="DQ37" s="1">
        <f>=vlookup("F/507/8488 - Hospitality in Travel and Tourism",RawScores,8,FALSE)</f>
      </c>
      <c r="DR37" s="1">
        <v>6.666666666666667</v>
      </c>
      <c r="DS37" s="1">
        <v>0</v>
      </c>
    </row>
    <row r="38">
      <c r="DP38" s="1" t="s">
        <v>91</v>
      </c>
      <c r="DQ38" s="1">
        <v>0</v>
      </c>
      <c r="DR38" s="1">
        <v>0</v>
      </c>
      <c r="DS38" s="1">
        <v>0</v>
      </c>
    </row>
    <row r="39">
      <c r="DP39" s="1" t="s">
        <v>92</v>
      </c>
      <c r="DQ39" s="1">
        <v>0</v>
      </c>
      <c r="DR39" s="1">
        <v>0</v>
      </c>
      <c r="DS39" s="1">
        <v>0</v>
      </c>
    </row>
    <row r="40">
      <c r="DP40" s="1" t="s">
        <v>93</v>
      </c>
      <c r="DQ40" s="1">
        <f>=vlookup("J/507/8489 - Work Experience in Travel and Tourism",RawScores,5,FALSE)</f>
      </c>
      <c r="DR40" s="1">
        <v>0</v>
      </c>
      <c r="DS40" s="1">
        <v>1</v>
      </c>
    </row>
    <row r="41">
      <c r="DP41" s="1" t="s">
        <v>94</v>
      </c>
      <c r="DQ41" s="1">
        <f>=vlookup("J/507/8489 - Work Experience in Travel and Tourism",RawScores,6,FALSE)</f>
      </c>
      <c r="DR41" s="1">
        <v>6.666666666666667</v>
      </c>
      <c r="DS41" s="1">
        <v>0</v>
      </c>
    </row>
    <row r="42">
      <c r="DP42" s="1" t="s">
        <v>95</v>
      </c>
      <c r="DQ42" s="1">
        <f>=vlookup("J/507/8489 - Work Experience in Travel and Tourism",RawScores,7,FALSE)</f>
      </c>
      <c r="DR42" s="1">
        <v>6.666666666666667</v>
      </c>
      <c r="DS42" s="1">
        <v>0</v>
      </c>
    </row>
    <row r="43">
      <c r="DP43" s="1" t="s">
        <v>96</v>
      </c>
      <c r="DQ43" s="1">
        <f>=vlookup("J/507/8489 - Work Experience in Travel and Tourism",RawScores,8,FALSE)</f>
      </c>
      <c r="DR43" s="1">
        <v>6.666666666666667</v>
      </c>
      <c r="DS43" s="1">
        <v>0</v>
      </c>
    </row>
    <row r="44">
      <c r="DP44" s="1" t="s">
        <v>97</v>
      </c>
      <c r="DQ44" s="1">
        <v>0</v>
      </c>
      <c r="DR44" s="1">
        <v>0</v>
      </c>
      <c r="DS44" s="1">
        <v>0</v>
      </c>
    </row>
    <row r="45">
      <c r="DP45" s="1" t="s">
        <v>98</v>
      </c>
      <c r="DQ45" s="1">
        <v>0</v>
      </c>
      <c r="DR45" s="1">
        <v>0</v>
      </c>
      <c r="DS45" s="1">
        <v>0</v>
      </c>
    </row>
    <row r="46">
      <c r="DP46" s="1" t="s">
        <v>99</v>
      </c>
      <c r="DQ46" s="1">
        <f>=vlookup("A/507/8490 - UK Tour Operations",RawScores,5,FALSE)</f>
      </c>
      <c r="DR46" s="1">
        <v>0</v>
      </c>
      <c r="DS46" s="1">
        <v>1</v>
      </c>
    </row>
    <row r="47">
      <c r="DP47" s="1" t="s">
        <v>100</v>
      </c>
      <c r="DQ47" s="1">
        <f>=vlookup("A/507/8490 - UK Tour Operations",RawScores,6,FALSE)</f>
      </c>
      <c r="DR47" s="1">
        <v>6.666666666666667</v>
      </c>
      <c r="DS47" s="1">
        <v>0</v>
      </c>
    </row>
    <row r="48">
      <c r="DP48" s="1" t="s">
        <v>101</v>
      </c>
      <c r="DQ48" s="1">
        <f>=vlookup("A/507/8490 - UK Tour Operations",RawScores,7,FALSE)</f>
      </c>
      <c r="DR48" s="1">
        <v>6.666666666666667</v>
      </c>
      <c r="DS48" s="1">
        <v>0</v>
      </c>
    </row>
    <row r="49">
      <c r="DP49" s="1" t="s">
        <v>102</v>
      </c>
      <c r="DQ49" s="1">
        <f>=vlookup("A/507/8490 - UK Tour Operations",RawScores,8,FALSE)</f>
      </c>
      <c r="DR49" s="1">
        <v>6.666666666666667</v>
      </c>
      <c r="DS49" s="1">
        <v>0</v>
      </c>
    </row>
    <row r="50">
      <c r="DP50" s="1" t="s">
        <v>103</v>
      </c>
      <c r="DQ50" s="1">
        <v>0</v>
      </c>
      <c r="DR50" s="1">
        <v>0</v>
      </c>
      <c r="DS50" s="1">
        <v>0</v>
      </c>
    </row>
    <row r="51">
      <c r="DP51" s="1" t="s">
        <v>104</v>
      </c>
      <c r="DQ51" s="1">
        <v>0</v>
      </c>
      <c r="DR51" s="1">
        <v>0</v>
      </c>
      <c r="DS51" s="1">
        <v>0</v>
      </c>
    </row>
    <row r="52">
      <c r="DP52" s="1" t="s">
        <v>105</v>
      </c>
      <c r="DQ52" s="1">
        <f>=vlookup("F/507/8491 - Travel Agency Operations",RawScores,5,FALSE)</f>
      </c>
      <c r="DR52" s="1">
        <v>0</v>
      </c>
      <c r="DS52" s="1">
        <v>1</v>
      </c>
    </row>
    <row r="53">
      <c r="DP53" s="1" t="s">
        <v>106</v>
      </c>
      <c r="DQ53" s="1">
        <f>=vlookup("F/507/8491 - Travel Agency Operations",RawScores,6,FALSE)</f>
      </c>
      <c r="DR53" s="1">
        <v>6.666666666666667</v>
      </c>
      <c r="DS53" s="1">
        <v>0</v>
      </c>
    </row>
    <row r="54">
      <c r="DP54" s="1" t="s">
        <v>107</v>
      </c>
      <c r="DQ54" s="1">
        <f>=vlookup("F/507/8491 - Travel Agency Operations",RawScores,7,FALSE)</f>
      </c>
      <c r="DR54" s="1">
        <v>6.666666666666667</v>
      </c>
      <c r="DS54" s="1">
        <v>0</v>
      </c>
    </row>
    <row r="55">
      <c r="DP55" s="1" t="s">
        <v>108</v>
      </c>
      <c r="DQ55" s="1">
        <f>=vlookup("F/507/8491 - Travel Agency Operations",RawScores,8,FALSE)</f>
      </c>
      <c r="DR55" s="1">
        <v>6.666666666666667</v>
      </c>
      <c r="DS55" s="1">
        <v>0</v>
      </c>
    </row>
    <row r="56">
      <c r="DP56" s="1" t="s">
        <v>109</v>
      </c>
      <c r="DQ56" s="1">
        <v>0</v>
      </c>
      <c r="DR56" s="1">
        <v>0</v>
      </c>
      <c r="DS56" s="1">
        <v>0</v>
      </c>
    </row>
    <row r="57">
      <c r="DP57" s="1" t="s">
        <v>110</v>
      </c>
      <c r="DQ57" s="1">
        <v>0</v>
      </c>
      <c r="DR57" s="1">
        <v>0</v>
      </c>
      <c r="DS57" s="1">
        <v>0</v>
      </c>
    </row>
    <row r="58">
      <c r="DP58" s="1" t="s">
        <v>111</v>
      </c>
      <c r="DQ58" s="1">
        <f>=vlookup("J/507/8492 - The UK Conference and Event Industry",RawScores,5,FALSE)</f>
      </c>
      <c r="DR58" s="1">
        <v>0</v>
      </c>
      <c r="DS58" s="1">
        <v>1</v>
      </c>
    </row>
    <row r="59">
      <c r="DP59" s="1" t="s">
        <v>112</v>
      </c>
      <c r="DQ59" s="1">
        <f>=vlookup("J/507/8492 - The UK Conference and Event Industry",RawScores,6,FALSE)</f>
      </c>
      <c r="DR59" s="1">
        <v>6.666666666666667</v>
      </c>
      <c r="DS59" s="1">
        <v>0</v>
      </c>
    </row>
    <row r="60">
      <c r="DP60" s="1" t="s">
        <v>113</v>
      </c>
      <c r="DQ60" s="1">
        <f>=vlookup("J/507/8492 - The UK Conference and Event Industry",RawScores,7,FALSE)</f>
      </c>
      <c r="DR60" s="1">
        <v>6.666666666666667</v>
      </c>
      <c r="DS60" s="1">
        <v>0</v>
      </c>
    </row>
    <row r="61">
      <c r="DP61" s="1" t="s">
        <v>114</v>
      </c>
      <c r="DQ61" s="1">
        <f>=vlookup("J/507/8492 - The UK Conference and Event Industry",RawScores,8,FALSE)</f>
      </c>
      <c r="DR61" s="1">
        <v>6.666666666666667</v>
      </c>
      <c r="DS61" s="1">
        <v>0</v>
      </c>
    </row>
    <row r="62">
      <c r="DP62" s="1" t="s">
        <v>115</v>
      </c>
      <c r="DQ62" s="1">
        <v>0</v>
      </c>
      <c r="DR62" s="1">
        <v>0</v>
      </c>
      <c r="DS62" s="1">
        <v>0</v>
      </c>
    </row>
    <row r="63">
      <c r="DP63" s="1" t="s">
        <v>116</v>
      </c>
      <c r="DQ63" s="1">
        <v>0</v>
      </c>
      <c r="DR63" s="1">
        <v>0</v>
      </c>
      <c r="DS63" s="1">
        <v>0</v>
      </c>
    </row>
    <row r="64">
      <c r="DP64" s="1" t="s">
        <v>117</v>
      </c>
      <c r="DQ64" s="1">
        <f>=vlookup("L/507/8493 - Marketing for Travel and Tourism",RawScores,5,FALSE)</f>
      </c>
      <c r="DR64" s="1">
        <v>0</v>
      </c>
      <c r="DS64" s="1">
        <v>1</v>
      </c>
    </row>
    <row r="65">
      <c r="DP65" s="1" t="s">
        <v>118</v>
      </c>
      <c r="DQ65" s="1">
        <f>=vlookup("L/507/8493 - Marketing for Travel and Tourism",RawScores,6,FALSE)</f>
      </c>
      <c r="DR65" s="1">
        <v>6.666666666666667</v>
      </c>
      <c r="DS65" s="1">
        <v>0</v>
      </c>
    </row>
    <row r="66">
      <c r="DP66" s="1" t="s">
        <v>119</v>
      </c>
      <c r="DQ66" s="1">
        <f>=vlookup("L/507/8493 - Marketing for Travel and Tourism",RawScores,7,FALSE)</f>
      </c>
      <c r="DR66" s="1">
        <v>6.666666666666667</v>
      </c>
      <c r="DS66" s="1">
        <v>0</v>
      </c>
    </row>
    <row r="67">
      <c r="DP67" s="1" t="s">
        <v>120</v>
      </c>
      <c r="DQ67" s="1">
        <f>=vlookup("L/507/8493 - Marketing for Travel and Tourism",RawScores,8,FALSE)</f>
      </c>
      <c r="DR67" s="1">
        <v>6.666666666666667</v>
      </c>
      <c r="DS67" s="1">
        <v>0</v>
      </c>
    </row>
    <row r="68">
      <c r="DP68" s="1" t="s">
        <v>121</v>
      </c>
      <c r="DQ68" s="1">
        <v>0</v>
      </c>
      <c r="DR68" s="1">
        <v>0</v>
      </c>
      <c r="DS68" s="1">
        <v>0</v>
      </c>
    </row>
    <row r="69">
      <c r="DP69" s="1" t="s">
        <v>122</v>
      </c>
      <c r="DQ69" s="1">
        <v>0</v>
      </c>
      <c r="DR69" s="1">
        <v>0</v>
      </c>
      <c r="DS69" s="1">
        <v>0</v>
      </c>
    </row>
    <row r="70">
      <c r="DP70" s="1" t="s">
        <v>123</v>
      </c>
      <c r="DQ70" s="1">
        <f>=vlookup("R/507/8494 - UK Passenger Transport Industry",RawScores,5,FALSE)</f>
      </c>
      <c r="DR70" s="1">
        <v>0</v>
      </c>
      <c r="DS70" s="1">
        <v>1</v>
      </c>
    </row>
    <row r="71">
      <c r="DP71" s="1" t="s">
        <v>124</v>
      </c>
      <c r="DQ71" s="1">
        <f>=vlookup("R/507/8494 - UK Passenger Transport Industry",RawScores,6,FALSE)</f>
      </c>
      <c r="DR71" s="1">
        <v>6.666666666666667</v>
      </c>
      <c r="DS71" s="1">
        <v>0</v>
      </c>
    </row>
    <row r="72">
      <c r="DP72" s="1" t="s">
        <v>125</v>
      </c>
      <c r="DQ72" s="1">
        <f>=vlookup("R/507/8494 - UK Passenger Transport Industry",RawScores,7,FALSE)</f>
      </c>
      <c r="DR72" s="1">
        <v>6.666666666666667</v>
      </c>
      <c r="DS72" s="1">
        <v>0</v>
      </c>
    </row>
    <row r="73">
      <c r="DP73" s="1" t="s">
        <v>126</v>
      </c>
      <c r="DQ73" s="1">
        <f>=vlookup("R/507/8494 - UK Passenger Transport Industry",RawScores,8,FALSE)</f>
      </c>
      <c r="DR73" s="1">
        <v>6.666666666666667</v>
      </c>
      <c r="DS73" s="1">
        <v>0</v>
      </c>
    </row>
    <row r="74">
      <c r="DP74" s="1" t="s">
        <v>127</v>
      </c>
      <c r="DQ74" s="1">
        <v>0</v>
      </c>
      <c r="DR74" s="1">
        <v>0</v>
      </c>
      <c r="DS74" s="1">
        <v>0</v>
      </c>
    </row>
    <row r="75">
      <c r="DP75" s="1" t="s">
        <v>128</v>
      </c>
      <c r="DQ75" s="1">
        <v>0</v>
      </c>
      <c r="DR75" s="1">
        <v>0</v>
      </c>
      <c r="DS75" s="1">
        <v>0</v>
      </c>
    </row>
    <row r="76">
      <c r="DP76" s="1" t="s">
        <v>129</v>
      </c>
      <c r="DQ76" s="1">
        <f>=vlookup("T/507/8505 - Resort Representative Roles and Responsibilities",RawScores,5,FALSE)</f>
      </c>
      <c r="DR76" s="1">
        <v>0</v>
      </c>
      <c r="DS76" s="1">
        <v>1</v>
      </c>
    </row>
    <row r="77">
      <c r="DP77" s="1" t="s">
        <v>130</v>
      </c>
      <c r="DQ77" s="1">
        <f>=vlookup("T/507/8505 - Resort Representative Roles and Responsibilities",RawScores,6,FALSE)</f>
      </c>
      <c r="DR77" s="1">
        <v>6.666666666666667</v>
      </c>
      <c r="DS77" s="1">
        <v>0</v>
      </c>
    </row>
    <row r="78">
      <c r="DP78" s="1" t="s">
        <v>131</v>
      </c>
      <c r="DQ78" s="1">
        <f>=vlookup("T/507/8505 - Resort Representative Roles and Responsibilities",RawScores,7,FALSE)</f>
      </c>
      <c r="DR78" s="1">
        <v>6.666666666666667</v>
      </c>
      <c r="DS78" s="1">
        <v>0</v>
      </c>
    </row>
    <row r="79">
      <c r="DP79" s="1" t="s">
        <v>132</v>
      </c>
      <c r="DQ79" s="1">
        <f>=vlookup("T/507/8505 - Resort Representative Roles and Responsibilities",RawScores,8,FALSE)</f>
      </c>
      <c r="DR79" s="1">
        <v>6.666666666666667</v>
      </c>
      <c r="DS79" s="1">
        <v>0</v>
      </c>
    </row>
    <row r="80">
      <c r="DP80" s="1" t="s">
        <v>133</v>
      </c>
      <c r="DQ80" s="1">
        <v>0</v>
      </c>
      <c r="DR80" s="1">
        <v>0</v>
      </c>
      <c r="DS80" s="1">
        <v>0</v>
      </c>
    </row>
    <row r="81">
      <c r="DP81" s="1" t="s">
        <v>134</v>
      </c>
      <c r="DQ81" s="1">
        <v>0</v>
      </c>
      <c r="DR81" s="1">
        <v>0</v>
      </c>
      <c r="DS81" s="1">
        <v>0</v>
      </c>
    </row>
    <row r="82">
      <c r="DP82" s="1" t="s">
        <v>135</v>
      </c>
      <c r="DQ82" s="1">
        <f>=vlookup("Y/507/8495 - Investigating Airline Cabin Crew",RawScores,5,FALSE)</f>
      </c>
      <c r="DR82" s="1">
        <v>0</v>
      </c>
      <c r="DS82" s="1">
        <v>1</v>
      </c>
    </row>
    <row r="83">
      <c r="DP83" s="1" t="s">
        <v>136</v>
      </c>
      <c r="DQ83" s="1">
        <f>=vlookup("Y/507/8495 - Investigating Airline Cabin Crew",RawScores,6,FALSE)</f>
      </c>
      <c r="DR83" s="1">
        <v>6.666666666666667</v>
      </c>
      <c r="DS83" s="1">
        <v>0</v>
      </c>
    </row>
    <row r="84">
      <c r="DP84" s="1" t="s">
        <v>137</v>
      </c>
      <c r="DQ84" s="1">
        <f>=vlookup("Y/507/8495 - Investigating Airline Cabin Crew",RawScores,7,FALSE)</f>
      </c>
      <c r="DR84" s="1">
        <v>6.666666666666667</v>
      </c>
      <c r="DS84" s="1">
        <v>0</v>
      </c>
    </row>
    <row r="85">
      <c r="DP85" s="1" t="s">
        <v>138</v>
      </c>
      <c r="DQ85" s="1">
        <f>=vlookup("Y/507/8495 - Investigating Airline Cabin Crew",RawScores,8,FALSE)</f>
      </c>
      <c r="DR85" s="1">
        <v>6.666666666666667</v>
      </c>
      <c r="DS85" s="1">
        <v>0</v>
      </c>
    </row>
    <row r="86">
      <c r="DP86" s="1" t="s">
        <v>139</v>
      </c>
      <c r="DQ86" s="1">
        <v>0</v>
      </c>
      <c r="DR86" s="1">
        <v>0</v>
      </c>
      <c r="DS86" s="1">
        <v>0</v>
      </c>
    </row>
    <row r="87">
      <c r="DP87" s="1" t="s">
        <v>140</v>
      </c>
      <c r="DQ87" s="1">
        <v>0</v>
      </c>
      <c r="DR87" s="1">
        <v>0</v>
      </c>
      <c r="DS87" s="1">
        <v>0</v>
      </c>
    </row>
    <row r="88">
      <c r="DP88" s="1" t="s">
        <v>141</v>
      </c>
      <c r="DQ88" s="1">
        <f>=vlookup("D/507/8496 - UK Airports",RawScores,5,FALSE)</f>
      </c>
      <c r="DR88" s="1">
        <v>0</v>
      </c>
      <c r="DS88" s="1">
        <v>1</v>
      </c>
    </row>
    <row r="89">
      <c r="DP89" s="1" t="s">
        <v>142</v>
      </c>
      <c r="DQ89" s="1">
        <f>=vlookup("D/507/8496 - UK Airports",RawScores,6,FALSE)</f>
      </c>
      <c r="DR89" s="1">
        <v>6.666666666666667</v>
      </c>
      <c r="DS89" s="1">
        <v>0</v>
      </c>
    </row>
    <row r="90">
      <c r="DP90" s="1" t="s">
        <v>143</v>
      </c>
      <c r="DQ90" s="1">
        <f>=vlookup("D/507/8496 - UK Airports",RawScores,7,FALSE)</f>
      </c>
      <c r="DR90" s="1">
        <v>6.666666666666667</v>
      </c>
      <c r="DS90" s="1">
        <v>0</v>
      </c>
    </row>
    <row r="91">
      <c r="DP91" s="1" t="s">
        <v>144</v>
      </c>
      <c r="DQ91" s="1">
        <f>=vlookup("D/507/8496 - UK Airports",RawScores,8,FALSE)</f>
      </c>
      <c r="DR91" s="1">
        <v>6.666666666666667</v>
      </c>
      <c r="DS91" s="1">
        <v>0</v>
      </c>
    </row>
    <row r="92">
      <c r="DP92" s="1" t="s">
        <v>145</v>
      </c>
      <c r="DQ92" s="1">
        <v>0</v>
      </c>
      <c r="DR92" s="1">
        <v>0</v>
      </c>
      <c r="DS92" s="1">
        <v>0</v>
      </c>
    </row>
    <row r="93">
      <c r="DP93" s="1" t="s">
        <v>146</v>
      </c>
      <c r="DQ93" s="1">
        <v>0</v>
      </c>
      <c r="DR93" s="1">
        <v>0</v>
      </c>
      <c r="DS93" s="1">
        <v>0</v>
      </c>
    </row>
    <row r="94">
      <c r="DP94" s="1" t="s">
        <v>147</v>
      </c>
      <c r="DQ94" s="1">
        <f>=vlookup("H/507/8497 - Worldwide Passenger Airlines",RawScores,5,FALSE)</f>
      </c>
      <c r="DR94" s="1">
        <v>0</v>
      </c>
      <c r="DS94" s="1">
        <v>1</v>
      </c>
    </row>
    <row r="95">
      <c r="DP95" s="1" t="s">
        <v>148</v>
      </c>
      <c r="DQ95" s="1">
        <f>=vlookup("H/507/8497 - Worldwide Passenger Airlines",RawScores,6,FALSE)</f>
      </c>
      <c r="DR95" s="1">
        <v>6.666666666666667</v>
      </c>
      <c r="DS95" s="1">
        <v>0</v>
      </c>
    </row>
    <row r="96">
      <c r="DP96" s="1" t="s">
        <v>149</v>
      </c>
      <c r="DQ96" s="1">
        <f>=vlookup("H/507/8497 - Worldwide Passenger Airlines",RawScores,7,FALSE)</f>
      </c>
      <c r="DR96" s="1">
        <v>6.666666666666667</v>
      </c>
      <c r="DS96" s="1">
        <v>0</v>
      </c>
    </row>
    <row r="97">
      <c r="DP97" s="1" t="s">
        <v>150</v>
      </c>
      <c r="DQ97" s="1">
        <f>=vlookup("H/507/8497 - Worldwide Passenger Airlines",RawScores,8,FALSE)</f>
      </c>
      <c r="DR97" s="1">
        <v>6.666666666666667</v>
      </c>
      <c r="DS97" s="1">
        <v>0</v>
      </c>
    </row>
    <row r="98">
      <c r="DP98" s="1" t="s">
        <v>151</v>
      </c>
      <c r="DQ98" s="1">
        <v>0</v>
      </c>
      <c r="DR98" s="1">
        <v>0</v>
      </c>
      <c r="DS98" s="1">
        <v>0</v>
      </c>
    </row>
    <row r="99">
      <c r="DP99" s="1" t="s">
        <v>152</v>
      </c>
      <c r="DQ99" s="1">
        <v>0</v>
      </c>
      <c r="DR99" s="1">
        <v>0</v>
      </c>
      <c r="DS99" s="1">
        <v>0</v>
      </c>
    </row>
    <row r="100">
      <c r="DP100" s="1" t="s">
        <v>153</v>
      </c>
      <c r="DQ100" s="1">
        <f>=vlookup("K/507/8498 - The Cruise Industry",RawScores,5,FALSE)</f>
      </c>
      <c r="DR100" s="1">
        <v>0</v>
      </c>
      <c r="DS100" s="1">
        <v>1</v>
      </c>
    </row>
    <row r="101">
      <c r="DP101" s="1" t="s">
        <v>154</v>
      </c>
      <c r="DQ101" s="1">
        <f>=vlookup("K/507/8498 - The Cruise Industry",RawScores,6,FALSE)</f>
      </c>
      <c r="DR101" s="1">
        <v>6.666666666666667</v>
      </c>
      <c r="DS101" s="1">
        <v>0</v>
      </c>
    </row>
    <row r="102">
      <c r="DP102" s="1" t="s">
        <v>155</v>
      </c>
      <c r="DQ102" s="1">
        <f>=vlookup("K/507/8498 - The Cruise Industry",RawScores,7,FALSE)</f>
      </c>
      <c r="DR102" s="1">
        <v>6.666666666666667</v>
      </c>
      <c r="DS102" s="1">
        <v>0</v>
      </c>
    </row>
    <row r="103">
      <c r="DP103" s="1" t="s">
        <v>156</v>
      </c>
      <c r="DQ103" s="1">
        <f>=vlookup("K/507/8498 - The Cruise Industry",RawScores,8,FALSE)</f>
      </c>
      <c r="DR103" s="1">
        <v>6.666666666666667</v>
      </c>
      <c r="DS103" s="1">
        <v>0</v>
      </c>
    </row>
    <row r="104">
      <c r="DP104" s="1" t="s">
        <v>157</v>
      </c>
      <c r="DQ104" s="1">
        <v>0</v>
      </c>
      <c r="DR104" s="1">
        <v>0</v>
      </c>
      <c r="DS104" s="1">
        <v>0</v>
      </c>
    </row>
    <row r="105">
      <c r="DP105" s="1" t="s">
        <v>158</v>
      </c>
      <c r="DQ105" s="1">
        <v>0</v>
      </c>
      <c r="DR105" s="1">
        <v>0</v>
      </c>
      <c r="DS105" s="1">
        <v>0</v>
      </c>
    </row>
    <row r="106">
      <c r="DP106" s="1" t="s">
        <v>159</v>
      </c>
      <c r="DQ106" s="1">
        <f>=vlookup("M/507/8499 - UK Heritage Tourist Attractions",RawScores,5,FALSE)</f>
      </c>
      <c r="DR106" s="1">
        <v>0</v>
      </c>
      <c r="DS106" s="1">
        <v>1</v>
      </c>
    </row>
    <row r="107">
      <c r="DP107" s="1" t="s">
        <v>160</v>
      </c>
      <c r="DQ107" s="1">
        <f>=vlookup("M/507/8499 - UK Heritage Tourist Attractions",RawScores,6,FALSE)</f>
      </c>
      <c r="DR107" s="1">
        <v>6.666666666666667</v>
      </c>
      <c r="DS107" s="1">
        <v>0</v>
      </c>
    </row>
    <row r="108">
      <c r="DP108" s="1" t="s">
        <v>161</v>
      </c>
      <c r="DQ108" s="1">
        <f>=vlookup("M/507/8499 - UK Heritage Tourist Attractions",RawScores,7,FALSE)</f>
      </c>
      <c r="DR108" s="1">
        <v>6.666666666666667</v>
      </c>
      <c r="DS108" s="1">
        <v>0</v>
      </c>
    </row>
    <row r="109">
      <c r="DP109" s="1" t="s">
        <v>162</v>
      </c>
      <c r="DQ109" s="1">
        <f>=vlookup("M/507/8499 - UK Heritage Tourist Attractions",RawScores,8,FALSE)</f>
      </c>
      <c r="DR109" s="1">
        <v>6.666666666666667</v>
      </c>
      <c r="DS109" s="1">
        <v>0</v>
      </c>
    </row>
    <row r="110">
      <c r="DP110" s="1" t="s">
        <v>163</v>
      </c>
      <c r="DQ110" s="1">
        <v>0</v>
      </c>
      <c r="DR110" s="1">
        <v>0</v>
      </c>
      <c r="DS110" s="1">
        <v>0</v>
      </c>
    </row>
    <row r="111">
      <c r="DP111" s="1" t="s">
        <v>164</v>
      </c>
      <c r="DQ111" s="1">
        <v>0</v>
      </c>
      <c r="DR111" s="1">
        <v>0</v>
      </c>
      <c r="DS111" s="1">
        <v>0</v>
      </c>
    </row>
    <row r="112">
      <c r="DP112" s="1" t="s">
        <v>165</v>
      </c>
      <c r="DQ112" s="1">
        <f>=vlookup("Y/507/8500 - Responsible Tourism",RawScores,5,FALSE)</f>
      </c>
      <c r="DR112" s="1">
        <v>0</v>
      </c>
      <c r="DS112" s="1">
        <v>1</v>
      </c>
    </row>
    <row r="113">
      <c r="DP113" s="1" t="s">
        <v>166</v>
      </c>
      <c r="DQ113" s="1">
        <f>=vlookup("Y/507/8500 - Responsible Tourism",RawScores,6,FALSE)</f>
      </c>
      <c r="DR113" s="1">
        <v>6.666666666666667</v>
      </c>
      <c r="DS113" s="1">
        <v>0</v>
      </c>
    </row>
    <row r="114">
      <c r="DP114" s="1" t="s">
        <v>167</v>
      </c>
      <c r="DQ114" s="1">
        <f>=vlookup("Y/507/8500 - Responsible Tourism",RawScores,7,FALSE)</f>
      </c>
      <c r="DR114" s="1">
        <v>6.666666666666667</v>
      </c>
      <c r="DS114" s="1">
        <v>0</v>
      </c>
    </row>
    <row r="115">
      <c r="DP115" s="1" t="s">
        <v>168</v>
      </c>
      <c r="DQ115" s="1">
        <f>=vlookup("Y/507/8500 - Responsible Tourism",RawScores,8,FALSE)</f>
      </c>
      <c r="DR115" s="1">
        <v>6.666666666666667</v>
      </c>
      <c r="DS115" s="1">
        <v>0</v>
      </c>
    </row>
    <row r="116">
      <c r="DP116" s="1" t="s">
        <v>169</v>
      </c>
      <c r="DQ116" s="1">
        <v>0</v>
      </c>
      <c r="DR116" s="1">
        <v>0</v>
      </c>
      <c r="DS116" s="1">
        <v>0</v>
      </c>
    </row>
    <row r="117">
      <c r="DP117" s="1" t="s">
        <v>170</v>
      </c>
      <c r="DQ117" s="1">
        <v>0</v>
      </c>
      <c r="DR117" s="1">
        <v>0</v>
      </c>
      <c r="DS117" s="1">
        <v>0</v>
      </c>
    </row>
    <row r="118">
      <c r="DP118" s="1" t="s">
        <v>171</v>
      </c>
      <c r="DQ118" s="1">
        <f>=vlookup("D/507/8501 - Specialist Tourism",RawScores,5,FALSE)</f>
      </c>
      <c r="DR118" s="1">
        <v>0</v>
      </c>
      <c r="DS118" s="1">
        <v>1</v>
      </c>
    </row>
    <row r="119">
      <c r="DP119" s="1" t="s">
        <v>172</v>
      </c>
      <c r="DQ119" s="1">
        <f>=vlookup("D/507/8501 - Specialist Tourism",RawScores,6,FALSE)</f>
      </c>
      <c r="DR119" s="1">
        <v>6.666666666666667</v>
      </c>
      <c r="DS119" s="1">
        <v>0</v>
      </c>
    </row>
    <row r="120">
      <c r="DP120" s="1" t="s">
        <v>173</v>
      </c>
      <c r="DQ120" s="1">
        <f>=vlookup("D/507/8501 - Specialist Tourism",RawScores,7,FALSE)</f>
      </c>
      <c r="DR120" s="1">
        <v>6.666666666666667</v>
      </c>
      <c r="DS120" s="1">
        <v>0</v>
      </c>
    </row>
    <row r="121">
      <c r="DP121" s="1" t="s">
        <v>174</v>
      </c>
      <c r="DQ121" s="1">
        <f>=vlookup("D/507/8501 - Specialist Tourism",RawScores,8,FALSE)</f>
      </c>
      <c r="DR121" s="1">
        <v>6.666666666666667</v>
      </c>
      <c r="DS121" s="1">
        <v>0</v>
      </c>
    </row>
    <row r="122">
      <c r="DP122" s="1" t="s">
        <v>175</v>
      </c>
      <c r="DQ122" s="1">
        <v>0</v>
      </c>
      <c r="DR122" s="1">
        <v>0</v>
      </c>
      <c r="DS122" s="1">
        <v>0</v>
      </c>
    </row>
    <row r="123">
      <c r="DP123" s="1" t="s">
        <v>176</v>
      </c>
      <c r="DQ123" s="1">
        <v>0</v>
      </c>
      <c r="DR123" s="1">
        <v>0</v>
      </c>
      <c r="DS123" s="1">
        <v>0</v>
      </c>
    </row>
    <row r="124">
      <c r="DP124" s="1" t="s">
        <v>177</v>
      </c>
      <c r="DQ124" s="1">
        <f>=vlookup("H/507/8502 - Business Travel",RawScores,5,FALSE)</f>
      </c>
      <c r="DR124" s="1">
        <v>0</v>
      </c>
      <c r="DS124" s="1">
        <v>1</v>
      </c>
    </row>
    <row r="125">
      <c r="DP125" s="1" t="s">
        <v>178</v>
      </c>
      <c r="DQ125" s="1">
        <f>=vlookup("H/507/8502 - Business Travel",RawScores,6,FALSE)</f>
      </c>
      <c r="DR125" s="1">
        <v>6.666666666666667</v>
      </c>
      <c r="DS125" s="1">
        <v>0</v>
      </c>
    </row>
    <row r="126">
      <c r="DP126" s="1" t="s">
        <v>179</v>
      </c>
      <c r="DQ126" s="1">
        <f>=vlookup("H/507/8502 - Business Travel",RawScores,7,FALSE)</f>
      </c>
      <c r="DR126" s="1">
        <v>6.666666666666667</v>
      </c>
      <c r="DS126" s="1">
        <v>0</v>
      </c>
    </row>
    <row r="127">
      <c r="DP127" s="1" t="s">
        <v>180</v>
      </c>
      <c r="DQ127" s="1">
        <f>=vlookup("H/507/8502 - Business Travel",RawScores,8,FALSE)</f>
      </c>
      <c r="DR127" s="1">
        <v>6.666666666666667</v>
      </c>
      <c r="DS127" s="1">
        <v>0</v>
      </c>
    </row>
    <row r="128">
      <c r="DP128" s="1" t="s">
        <v>181</v>
      </c>
      <c r="DQ128" s="1">
        <v>0</v>
      </c>
      <c r="DR128" s="1">
        <v>0</v>
      </c>
      <c r="DS128" s="1">
        <v>0</v>
      </c>
    </row>
    <row r="129">
      <c r="DP129" s="1" t="s">
        <v>182</v>
      </c>
      <c r="DQ129" s="1">
        <v>0</v>
      </c>
      <c r="DR129" s="1">
        <v>0</v>
      </c>
      <c r="DS129" s="1">
        <v>0</v>
      </c>
    </row>
    <row r="130">
      <c r="DP130" s="1" t="s">
        <v>183</v>
      </c>
      <c r="DQ130" s="1">
        <f>=vlookup("K/507/8503 - Storytelling for Tourism",RawScores,5,FALSE)</f>
      </c>
      <c r="DR130" s="1">
        <v>0</v>
      </c>
      <c r="DS130" s="1">
        <v>1</v>
      </c>
    </row>
    <row r="131">
      <c r="DP131" s="1" t="s">
        <v>184</v>
      </c>
      <c r="DQ131" s="1">
        <f>=vlookup("K/507/8503 - Storytelling for Tourism",RawScores,6,FALSE)</f>
      </c>
      <c r="DR131" s="1">
        <v>6.666666666666667</v>
      </c>
      <c r="DS131" s="1">
        <v>0</v>
      </c>
    </row>
    <row r="132">
      <c r="DP132" s="1" t="s">
        <v>185</v>
      </c>
      <c r="DQ132" s="1">
        <f>=vlookup("K/507/8503 - Storytelling for Tourism",RawScores,7,FALSE)</f>
      </c>
      <c r="DR132" s="1">
        <v>6.666666666666667</v>
      </c>
      <c r="DS132" s="1">
        <v>0</v>
      </c>
    </row>
    <row r="133">
      <c r="DP133" s="1" t="s">
        <v>186</v>
      </c>
      <c r="DQ133" s="1">
        <f>=vlookup("K/507/8503 - Storytelling for Tourism",RawScores,8,FALSE)</f>
      </c>
      <c r="DR133" s="1">
        <v>6.666666666666667</v>
      </c>
      <c r="DS133" s="1">
        <v>0</v>
      </c>
    </row>
    <row r="134">
      <c r="DP134" s="1" t="s">
        <v>187</v>
      </c>
      <c r="DQ134" s="1">
        <v>0</v>
      </c>
      <c r="DR134" s="1">
        <v>0</v>
      </c>
      <c r="DS134" s="1">
        <v>0</v>
      </c>
    </row>
    <row r="135">
      <c r="DP135" s="1" t="s">
        <v>188</v>
      </c>
      <c r="DQ135" s="1">
        <v>0</v>
      </c>
      <c r="DR135" s="1">
        <v>0</v>
      </c>
      <c r="DS135" s="1">
        <v>0</v>
      </c>
    </row>
    <row r="136">
      <c r="DP136" s="1" t="s">
        <v>189</v>
      </c>
      <c r="DQ136" s="1">
        <f>=vlookup("M/507/8504 - Tour Guiding",RawScores,5,FALSE)</f>
      </c>
      <c r="DR136" s="1">
        <v>0</v>
      </c>
      <c r="DS136" s="1">
        <v>1</v>
      </c>
    </row>
    <row r="137">
      <c r="DP137" s="1" t="s">
        <v>190</v>
      </c>
      <c r="DQ137" s="1">
        <f>=vlookup("M/507/8504 - Tour Guiding",RawScores,6,FALSE)</f>
      </c>
      <c r="DR137" s="1">
        <v>6.666666666666667</v>
      </c>
      <c r="DS137" s="1">
        <v>0</v>
      </c>
    </row>
    <row r="138">
      <c r="DP138" s="1" t="s">
        <v>191</v>
      </c>
      <c r="DQ138" s="1">
        <f>=vlookup("M/507/8504 - Tour Guiding",RawScores,7,FALSE)</f>
      </c>
      <c r="DR138" s="1">
        <v>6.666666666666667</v>
      </c>
      <c r="DS138" s="1">
        <v>0</v>
      </c>
    </row>
    <row r="139">
      <c r="DP139" s="1" t="s">
        <v>192</v>
      </c>
      <c r="DQ139" s="1">
        <f>=vlookup("M/507/8504 - Tour Guiding",RawScores,8,FALSE)</f>
      </c>
      <c r="DR139" s="1">
        <v>6.666666666666667</v>
      </c>
      <c r="DS139" s="1">
        <v>0</v>
      </c>
    </row>
  </sheetData>
  <sheetProtection sheet="1" password="a096" formatColumns="0"/>
  <dataValidations count="23">
    <dataValidation type="list" sqref="F12" showErrorMessage="1" allowBlank="1" errorStyle="stop" errorTitle="Error" error="Selection not valid">
      <formula1>=MandatoryGrades</formula1>
    </dataValidation>
    <dataValidation type="list" sqref="F13" showErrorMessage="1" allowBlank="1" errorStyle="stop" errorTitle="Error" error="Selection not valid">
      <formula1>=MandatoryGrades</formula1>
    </dataValidation>
    <dataValidation type="list" sqref="F14" showErrorMessage="1" allowBlank="1" errorStyle="stop" errorTitle="Error" error="Selection not valid">
      <formula1>=MandatoryGrades</formula1>
    </dataValidation>
    <dataValidation type="list" sqref="F15" showErrorMessage="1" allowBlank="1" errorStyle="stop" errorTitle="Error" error="Selection not valid">
      <formula1>=Grades</formula1>
    </dataValidation>
    <dataValidation type="list" sqref="F16" showErrorMessage="1" allowBlank="1" errorStyle="stop" errorTitle="Error" error="Selection not valid">
      <formula1>=Grades</formula1>
    </dataValidation>
    <dataValidation type="list" sqref="F17" showErrorMessage="1" allowBlank="1" errorStyle="stop" errorTitle="Error" error="Selection not valid">
      <formula1>=Grades</formula1>
    </dataValidation>
    <dataValidation type="list" sqref="F18" showErrorMessage="1" allowBlank="1" errorStyle="stop" errorTitle="Error" error="Selection not valid">
      <formula1>=Grades</formula1>
    </dataValidation>
    <dataValidation type="list" sqref="F19" showErrorMessage="1" allowBlank="1" errorStyle="stop" errorTitle="Error" error="Selection not valid">
      <formula1>=Grades</formula1>
    </dataValidation>
    <dataValidation type="list" sqref="F20" showErrorMessage="1" allowBlank="1" errorStyle="stop" errorTitle="Error" error="Selection not valid">
      <formula1>=Grades</formula1>
    </dataValidation>
    <dataValidation type="list" sqref="F21" showErrorMessage="1" allowBlank="1" errorStyle="stop" errorTitle="Error" error="Selection not valid">
      <formula1>=Grades</formula1>
    </dataValidation>
    <dataValidation type="list" sqref="F22" showErrorMessage="1" allowBlank="1" errorStyle="stop" errorTitle="Error" error="Selection not valid">
      <formula1>=Grades</formula1>
    </dataValidation>
    <dataValidation type="list" sqref="F23" showErrorMessage="1" allowBlank="1" errorStyle="stop" errorTitle="Error" error="Selection not valid">
      <formula1>=Grades</formula1>
    </dataValidation>
    <dataValidation type="list" sqref="F24" showErrorMessage="1" allowBlank="1" errorStyle="stop" errorTitle="Error" error="Selection not valid">
      <formula1>=Grades</formula1>
    </dataValidation>
    <dataValidation type="list" sqref="F25" showErrorMessage="1" allowBlank="1" errorStyle="stop" errorTitle="Error" error="Selection not valid">
      <formula1>=Grades</formula1>
    </dataValidation>
    <dataValidation type="list" sqref="F26" showErrorMessage="1" allowBlank="1" errorStyle="stop" errorTitle="Error" error="Selection not valid">
      <formula1>=Grades</formula1>
    </dataValidation>
    <dataValidation type="list" sqref="F27" showErrorMessage="1" allowBlank="1" errorStyle="stop" errorTitle="Error" error="Selection not valid">
      <formula1>=Grades</formula1>
    </dataValidation>
    <dataValidation type="list" sqref="F28" showErrorMessage="1" allowBlank="1" errorStyle="stop" errorTitle="Error" error="Selection not valid">
      <formula1>=Grades</formula1>
    </dataValidation>
    <dataValidation type="list" sqref="F29" showErrorMessage="1" allowBlank="1" errorStyle="stop" errorTitle="Error" error="Selection not valid">
      <formula1>=Grades</formula1>
    </dataValidation>
    <dataValidation type="list" sqref="F30" showErrorMessage="1" allowBlank="1" errorStyle="stop" errorTitle="Error" error="Selection not valid">
      <formula1>=Grades</formula1>
    </dataValidation>
    <dataValidation type="list" sqref="F31" showErrorMessage="1" allowBlank="1" errorStyle="stop" errorTitle="Error" error="Selection not valid">
      <formula1>=Grades</formula1>
    </dataValidation>
    <dataValidation type="list" sqref="F32" showErrorMessage="1" allowBlank="1" errorStyle="stop" errorTitle="Error" error="Selection not valid">
      <formula1>=Grades</formula1>
    </dataValidation>
    <dataValidation type="list" sqref="F33" showErrorMessage="1" allowBlank="1" errorStyle="stop" errorTitle="Error" error="Selection not valid">
      <formula1>=Grades</formula1>
    </dataValidation>
    <dataValidation type="list" sqref="F34" showErrorMessage="1" allowBlank="1" errorStyle="stop" errorTitle="Error" error="Selection not valid">
      <formula1>=Grades</formula1>
    </dataValidation>
  </dataValidations>
  <headerFooter/>
  <drawing r:id="rId1"/>
</worksheet>
</file>