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Grade'!$C$12:$C$37</definedName>
    <definedName name="Selections" localSheetId="0">'Qualification Grade'!$F$12:$F$36</definedName>
    <definedName name="UMSGroup" localSheetId="0">'Qualification Grade'!$H$12:$H$36</definedName>
    <definedName name="MandatoryScoreGroup" localSheetId="0">'Qualification Grade'!$I$12:$I$36</definedName>
    <definedName name="HurdleGroup" localSheetId="0">'Qualification Grade'!$J$12:$J$36</definedName>
    <definedName name="UnitSelections" localSheetId="0">'Qualification Grade'!$E$11:$F$36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Grade'!$CV$1:$DC$26</definedName>
    <definedName name="TotalGHL" localSheetId="0">'Qualification Grade'!$CW$27</definedName>
    <definedName name="InternalAssessment" localSheetId="0">'Qualification Grade'!$DP$1:$DS$151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<sst xmlns="http://schemas.openxmlformats.org/spreadsheetml/2006/main" count="207" uniqueCount="207">
  <si>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</si>
  <si>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</si>
  <si>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</si>
  <si>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</si>
  <si>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</si>
  <si>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</si>
  <si>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</si>
  <si>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</si>
  <si>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</si>
  <si>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</si>
  <si>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</si>
  <si>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</si>
  <si>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</si>
  <si>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</si>
  <si>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</si>
  <si>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</si>
  <si>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</si>
  <si>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</si>
  <si>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</si>
  <si>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</si>
  <si>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</si>
  <si>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Y/508/4054 - Prepare for a Career in a Chosen Uniformed Service</t>
  </si>
  <si>
    <t>Y/508/4054 - Prepare for a Career in a Chosen Uniformed Service_</t>
  </si>
  <si>
    <t>D/508/4055 - Develop Aspects of Physical Fitness for Entry to the Uniformed Services</t>
  </si>
  <si>
    <t>Y/508/4054 - Prepare for a Career in a Chosen Uniformed Service_Not Applicable</t>
  </si>
  <si>
    <t>H/508/4056 - Develop Leadership Skills</t>
  </si>
  <si>
    <t>Y/508/4054 - Prepare for a Career in a Chosen Uniformed Service_Not Yet Achieved</t>
  </si>
  <si>
    <t>Grading Calculator</t>
  </si>
  <si>
    <t>K/508/4057 - Equality, Diversity and Inclusion</t>
  </si>
  <si>
    <t>Y/508/4054 - Prepare for a Career in a Chosen Uniformed Service_Pass</t>
  </si>
  <si>
    <t>601/8790/6 - NCFE Level 3 Introductory Certificate for Entry to the Uniformed Services</t>
  </si>
  <si>
    <t>M/508/4058 - Uniformed Services Hierarchy and Routine</t>
  </si>
  <si>
    <t>Y/508/4054 - Prepare for a Career in a Chosen Uniformed Service_Merit</t>
  </si>
  <si>
    <t>Estimated Final Grade</t>
  </si>
  <si>
    <t>T/508/4059 - Values and Standards</t>
  </si>
  <si>
    <t>Y/508/4054 - Prepare for a Career in a Chosen Uniformed Service_Distinction</t>
  </si>
  <si>
    <t>Learners are required to successfully complete 1 mandatory units and 2 optional units.</t>
  </si>
  <si>
    <t>K/508/4060 - Mental and Physical Wellbeing</t>
  </si>
  <si>
    <t>D/508/4055 - Develop Aspects of Physical Fitness for Entry to the Uniformed Services_</t>
  </si>
  <si>
    <t>M/508/4061 - Carry Out Map Reading and Navigation Across Open Country</t>
  </si>
  <si>
    <t>D/508/4055 - Develop Aspects of Physical Fitness for Entry to the Uniformed Services_Not Applicable</t>
  </si>
  <si>
    <t xml:space="preserve">A/508/4063 - Telecommunications in the Uniformed Services </t>
  </si>
  <si>
    <t>D/508/4055 - Develop Aspects of Physical Fitness for Entry to the Uniformed Services_Not Yet Achieved</t>
  </si>
  <si>
    <t>Group</t>
  </si>
  <si>
    <t>Order</t>
  </si>
  <si>
    <t>Select Grade</t>
  </si>
  <si>
    <t>Mandatory</t>
  </si>
  <si>
    <t>Mandatory Score</t>
  </si>
  <si>
    <t>J/508/4065 - Understand Conflict Management and Personal Protection</t>
  </si>
  <si>
    <t>D/508/4055 - Develop Aspects of Physical Fitness for Entry to the Uniformed Services_Pass</t>
  </si>
  <si>
    <t>Yes</t>
  </si>
  <si>
    <t>L/508/4066 - The Influence of UK Government, International Organisations and Media on the Uniformed Services</t>
  </si>
  <si>
    <t>D/508/4055 - Develop Aspects of Physical Fitness for Entry to the Uniformed Services_Merit</t>
  </si>
  <si>
    <t>No</t>
  </si>
  <si>
    <t>Y/508/4068 - Collaboration Between Uniformed Services</t>
  </si>
  <si>
    <t>D/508/4055 - Develop Aspects of Physical Fitness for Entry to the Uniformed Services_Distinction</t>
  </si>
  <si>
    <t>D/508/4069 - Emergency Planning and Response in the Uniformed Services</t>
  </si>
  <si>
    <t>H/508/4056 - Develop Leadership Skills_</t>
  </si>
  <si>
    <t>R/508/4070 - Understand the Impact of War and Conflict on Uniformed Services</t>
  </si>
  <si>
    <t>H/508/4056 - Develop Leadership Skills_Not Applicable</t>
  </si>
  <si>
    <t>D/508/4122 - Sports Coaching</t>
  </si>
  <si>
    <t>H/508/4056 - Develop Leadership Skills_Not Yet Achieved</t>
  </si>
  <si>
    <t xml:space="preserve">H/508/4123 - Skills for Land-Based Outdoor and Adventurous Activities </t>
  </si>
  <si>
    <t>H/508/4056 - Develop Leadership Skills_Pass</t>
  </si>
  <si>
    <t>K/508/4124 - Skills for Water-Based Outdoor and Adventurous Activities</t>
  </si>
  <si>
    <t>H/508/4056 - Develop Leadership Skills_Merit</t>
  </si>
  <si>
    <t>M/508/4125 - Outdoor and Adventurous Expeditions</t>
  </si>
  <si>
    <t>H/508/4056 - Develop Leadership Skills_Distinction</t>
  </si>
  <si>
    <t>Y/508/4071 - Understanding Discipline in the Uniformed Services</t>
  </si>
  <si>
    <t>K/508/4057 - Equality, Diversity and Inclusion_</t>
  </si>
  <si>
    <t>D/508/4072 - UK Legal Systems and Uniformed Services</t>
  </si>
  <si>
    <t>K/508/4057 - Equality, Diversity and Inclusion_Not Applicable</t>
  </si>
  <si>
    <t>H/508/4073 - Crime Scene Investigation</t>
  </si>
  <si>
    <t>K/508/4057 - Equality, Diversity and Inclusion_Not Yet Achieved</t>
  </si>
  <si>
    <t>M/508/4075 - ICT in the Uniformed Services</t>
  </si>
  <si>
    <t>K/508/4057 - Equality, Diversity and Inclusion_Pass</t>
  </si>
  <si>
    <t>T/508/4076 - Volunteering in the Uniformed Services</t>
  </si>
  <si>
    <t>K/508/4057 - Equality, Diversity and Inclusion_Merit</t>
  </si>
  <si>
    <t>A/508/4077 - Human Resources in the Uniformed Services</t>
  </si>
  <si>
    <t>K/508/4057 - Equality, Diversity and Inclusion_Distinction</t>
  </si>
  <si>
    <t>F/508/4078 - Security Procedures in the Uniformed Services</t>
  </si>
  <si>
    <t>M/508/4058 - Uniformed Services Hierarchy and Routine_</t>
  </si>
  <si>
    <t>M/508/4058 - Uniformed Services Hierarchy and Routine_Not Applicable</t>
  </si>
  <si>
    <t>M/508/4058 - Uniformed Services Hierarchy and Routine_Not Yet Achieved</t>
  </si>
  <si>
    <t>M/508/4058 - Uniformed Services Hierarchy and Routine_Pass</t>
  </si>
  <si>
    <t>M/508/4058 - Uniformed Services Hierarchy and Routine_Merit</t>
  </si>
  <si>
    <t>M/508/4058 - Uniformed Services Hierarchy and Routine_Distinction</t>
  </si>
  <si>
    <t>T/508/4059 - Values and Standards_</t>
  </si>
  <si>
    <t>T/508/4059 - Values and Standards_Not Applicable</t>
  </si>
  <si>
    <t>T/508/4059 - Values and Standards_Not Yet Achieved</t>
  </si>
  <si>
    <t>T/508/4059 - Values and Standards_Pass</t>
  </si>
  <si>
    <t>T/508/4059 - Values and Standards_Merit</t>
  </si>
  <si>
    <t>T/508/4059 - Values and Standards_Distinction</t>
  </si>
  <si>
    <t>K/508/4060 - Mental and Physical Wellbeing_</t>
  </si>
  <si>
    <t>K/508/4060 - Mental and Physical Wellbeing_Not Applicable</t>
  </si>
  <si>
    <t>K/508/4060 - Mental and Physical Wellbeing_Not Yet Achieved</t>
  </si>
  <si>
    <t>K/508/4060 - Mental and Physical Wellbeing_Pass</t>
  </si>
  <si>
    <t>K/508/4060 - Mental and Physical Wellbeing_Merit</t>
  </si>
  <si>
    <t>K/508/4060 - Mental and Physical Wellbeing_Distinction</t>
  </si>
  <si>
    <t>M/508/4061 - Carry Out Map Reading and Navigation Across Open Country_</t>
  </si>
  <si>
    <t>M/508/4061 - Carry Out Map Reading and Navigation Across Open Country_Not Applicable</t>
  </si>
  <si>
    <t>M/508/4061 - Carry Out Map Reading and Navigation Across Open Country_Not Yet Achieved</t>
  </si>
  <si>
    <t>M/508/4061 - Carry Out Map Reading and Navigation Across Open Country_Pass</t>
  </si>
  <si>
    <t>M/508/4061 - Carry Out Map Reading and Navigation Across Open Country_Merit</t>
  </si>
  <si>
    <t>M/508/4061 - Carry Out Map Reading and Navigation Across Open Country_Distinction</t>
  </si>
  <si>
    <t>A/508/4063 - Telecommunications in the Uniformed Services _</t>
  </si>
  <si>
    <t>A/508/4063 - Telecommunications in the Uniformed Services _Not Applicable</t>
  </si>
  <si>
    <t>A/508/4063 - Telecommunications in the Uniformed Services _Not Yet Achieved</t>
  </si>
  <si>
    <t>A/508/4063 - Telecommunications in the Uniformed Services _Pass</t>
  </si>
  <si>
    <t>A/508/4063 - Telecommunications in the Uniformed Services _Merit</t>
  </si>
  <si>
    <t>A/508/4063 - Telecommunications in the Uniformed Services _Distinction</t>
  </si>
  <si>
    <t>J/508/4065 - Understand Conflict Management and Personal Protection_</t>
  </si>
  <si>
    <t>J/508/4065 - Understand Conflict Management and Personal Protection_Not Applicable</t>
  </si>
  <si>
    <t>J/508/4065 - Understand Conflict Management and Personal Protection_Not Yet Achieved</t>
  </si>
  <si>
    <t>J/508/4065 - Understand Conflict Management and Personal Protection_Pass</t>
  </si>
  <si>
    <t>J/508/4065 - Understand Conflict Management and Personal Protection_Merit</t>
  </si>
  <si>
    <t>J/508/4065 - Understand Conflict Management and Personal Protection_Distinction</t>
  </si>
  <si>
    <t>L/508/4066 - The Influence of UK Government, International Organisations and Media on the Uniformed Services_</t>
  </si>
  <si>
    <t>L/508/4066 - The Influence of UK Government, International Organisations and Media on the Uniformed Services_Not Applicable</t>
  </si>
  <si>
    <t>L/508/4066 - The Influence of UK Government, International Organisations and Media on the Uniformed Services_Not Yet Achieved</t>
  </si>
  <si>
    <t>L/508/4066 - The Influence of UK Government, International Organisations and Media on the Uniformed Services_Pass</t>
  </si>
  <si>
    <t>L/508/4066 - The Influence of UK Government, International Organisations and Media on the Uniformed Services_Merit</t>
  </si>
  <si>
    <t>L/508/4066 - The Influence of UK Government, International Organisations and Media on the Uniformed Services_Distinction</t>
  </si>
  <si>
    <t>Y/508/4068 - Collaboration Between Uniformed Services_</t>
  </si>
  <si>
    <t>Y/508/4068 - Collaboration Between Uniformed Services_Not Applicable</t>
  </si>
  <si>
    <t>Y/508/4068 - Collaboration Between Uniformed Services_Not Yet Achieved</t>
  </si>
  <si>
    <t>Y/508/4068 - Collaboration Between Uniformed Services_Pass</t>
  </si>
  <si>
    <t>Y/508/4068 - Collaboration Between Uniformed Services_Merit</t>
  </si>
  <si>
    <t>Y/508/4068 - Collaboration Between Uniformed Services_Distinction</t>
  </si>
  <si>
    <t>D/508/4069 - Emergency Planning and Response in the Uniformed Services_</t>
  </si>
  <si>
    <t>D/508/4069 - Emergency Planning and Response in the Uniformed Services_Not Applicable</t>
  </si>
  <si>
    <t>D/508/4069 - Emergency Planning and Response in the Uniformed Services_Not Yet Achieved</t>
  </si>
  <si>
    <t>D/508/4069 - Emergency Planning and Response in the Uniformed Services_Pass</t>
  </si>
  <si>
    <t>D/508/4069 - Emergency Planning and Response in the Uniformed Services_Merit</t>
  </si>
  <si>
    <t>D/508/4069 - Emergency Planning and Response in the Uniformed Services_Distinction</t>
  </si>
  <si>
    <t>R/508/4070 - Understand the Impact of War and Conflict on Uniformed Services_</t>
  </si>
  <si>
    <t>R/508/4070 - Understand the Impact of War and Conflict on Uniformed Services_Not Applicable</t>
  </si>
  <si>
    <t>R/508/4070 - Understand the Impact of War and Conflict on Uniformed Services_Not Yet Achieved</t>
  </si>
  <si>
    <t>R/508/4070 - Understand the Impact of War and Conflict on Uniformed Services_Pass</t>
  </si>
  <si>
    <t>R/508/4070 - Understand the Impact of War and Conflict on Uniformed Services_Merit</t>
  </si>
  <si>
    <t>R/508/4070 - Understand the Impact of War and Conflict on Uniformed Services_Distinction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</si>
  <si>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</si>
  <si>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</si>
  <si>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</si>
  <si>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</si>
  <si>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</si>
  <si>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</si>
  <si>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</si>
  <si>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</si>
  <si>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</si>
  <si>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</si>
  <si>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</si>
  <si>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</si>
  <si>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</si>
  <si>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</si>
  <si>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</si>
  <si>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</si>
  <si>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</si>
  <si>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</si>
  <si>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</si>
  <si>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</si>
  <si>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</si>
  <si>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</si>
  <si>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</si>
  <si>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</si>
  <si>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Y/508/4071 - Understanding Discipline in the Uniformed Services_</t>
  </si>
  <si>
    <t>Y/508/4071 - Understanding Discipline in the Uniformed Services_Not Applicable</t>
  </si>
  <si>
    <t>Y/508/4071 - Understanding Discipline in the Uniformed Services_Not Yet Achieved</t>
  </si>
  <si>
    <t>Y/508/4071 - Understanding Discipline in the Uniformed Services_Pass</t>
  </si>
  <si>
    <t>Y/508/4071 - Understanding Discipline in the Uniformed Services_Merit</t>
  </si>
  <si>
    <t>Y/508/4071 - Understanding Discipline in the Uniformed Services_Distinction</t>
  </si>
  <si>
    <t>D/508/4072 - UK Legal Systems and Uniformed Services_</t>
  </si>
  <si>
    <t>D/508/4072 - UK Legal Systems and Uniformed Services_Not Applicable</t>
  </si>
  <si>
    <t>D/508/4072 - UK Legal Systems and Uniformed Services_Not Yet Achieved</t>
  </si>
  <si>
    <t>D/508/4072 - UK Legal Systems and Uniformed Services_Pass</t>
  </si>
  <si>
    <t>D/508/4072 - UK Legal Systems and Uniformed Services_Merit</t>
  </si>
  <si>
    <t>D/508/4072 - UK Legal Systems and Uniformed Services_Distinction</t>
  </si>
  <si>
    <t>H/508/4073 - Crime Scene Investigation_</t>
  </si>
  <si>
    <t>H/508/4073 - Crime Scene Investigation_Not Applicable</t>
  </si>
  <si>
    <t>H/508/4073 - Crime Scene Investigation_Not Yet Achieved</t>
  </si>
  <si>
    <t>H/508/4073 - Crime Scene Investigation_Pass</t>
  </si>
  <si>
    <t>H/508/4073 - Crime Scene Investigation_Merit</t>
  </si>
  <si>
    <t>H/508/4073 - Crime Scene Investigation_Distinction</t>
  </si>
  <si>
    <t>M/508/4075 - ICT in the Uniformed Services_</t>
  </si>
  <si>
    <t>M/508/4075 - ICT in the Uniformed Services_Not Applicable</t>
  </si>
  <si>
    <t>M/508/4075 - ICT in the Uniformed Services_Not Yet Achieved</t>
  </si>
  <si>
    <t>M/508/4075 - ICT in the Uniformed Services_Pass</t>
  </si>
  <si>
    <t>M/508/4075 - ICT in the Uniformed Services_Merit</t>
  </si>
  <si>
    <t>M/508/4075 - ICT in the Uniformed Services_Distinction</t>
  </si>
  <si>
    <t>T/508/4076 - Volunteering in the Uniformed Services_</t>
  </si>
  <si>
    <t>T/508/4076 - Volunteering in the Uniformed Services_Not Applicable</t>
  </si>
  <si>
    <t>T/508/4076 - Volunteering in the Uniformed Services_Not Yet Achieved</t>
  </si>
  <si>
    <t>T/508/4076 - Volunteering in the Uniformed Services_Pass</t>
  </si>
  <si>
    <t>T/508/4076 - Volunteering in the Uniformed Services_Merit</t>
  </si>
  <si>
    <t>T/508/4076 - Volunteering in the Uniformed Services_Distinction</t>
  </si>
  <si>
    <t>A/508/4077 - Human Resources in the Uniformed Services_</t>
  </si>
  <si>
    <t>A/508/4077 - Human Resources in the Uniformed Services_Not Applicable</t>
  </si>
  <si>
    <t>A/508/4077 - Human Resources in the Uniformed Services_Not Yet Achieved</t>
  </si>
  <si>
    <t>A/508/4077 - Human Resources in the Uniformed Services_Pass</t>
  </si>
  <si>
    <t>A/508/4077 - Human Resources in the Uniformed Services_Merit</t>
  </si>
  <si>
    <t>A/508/4077 - Human Resources in the Uniformed Services_Distinction</t>
  </si>
  <si>
    <t>F/508/4078 - Security Procedures in the Uniformed Services_</t>
  </si>
  <si>
    <t>F/508/4078 - Security Procedures in the Uniformed Services_Not Applicable</t>
  </si>
  <si>
    <t>F/508/4078 - Security Procedures in the Uniformed Services_Not Yet Achieved</t>
  </si>
  <si>
    <t>F/508/4078 - Security Procedures in the Uniformed Services_Pass</t>
  </si>
  <si>
    <t>F/508/4078 - Security Procedures in the Uniformed Services_Merit</t>
  </si>
  <si>
    <t>F/508/4078 - Security Procedures in the Uniformed Services_Distinction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</si>
</sst>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5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2.489100864955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=Sum(UMSGroup)/300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=Sum(CX2*300)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=Sum(CX3*300)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=Sum(CX4*300)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=vlookup("Y/508/4054 - Prepare for a Career in a Chosen Uniformed Service",RawScores,5,FALSE)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=Sum(CX5*300)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=vlookup("Y/508/4054 - Prepare for a Career in a Chosen Uniformed Service",RawScores,6,FALSE)</f>
      </c>
      <c r="DR5" s="1">
        <v>100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=Sum(CX6*300)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=vlookup("Y/508/4054 - Prepare for a Career in a Chosen Uniformed Service",RawScores,7,FALSE)</f>
      </c>
      <c r="DR6" s="1">
        <v>100</v>
      </c>
      <c r="DS6" s="1">
        <v>0</v>
      </c>
    </row>
    <row r="7">
      <c r="E7" s="1" t="s">
        <v>33</v>
      </c>
      <c r="F7" s="2">
        <f>=If(HasMet,(If(AND(COUNTIF(Selections,"Distinction")&gt;=1,COUNTIF(Selections,"Merit")=0,COUNTIF(Selections,"Pass")=0),"Distinction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=Sum(CX7*300)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=vlookup("Y/508/4054 - Prepare for a Career in a Chosen Uniformed Service",RawScores,8,FALSE)</f>
      </c>
      <c r="DR7" s="1">
        <v>100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=Sum(CX8*300)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=Sum(CX9*300)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=Sum(CX10*300)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=vlookup("D/508/4055 - Develop Aspects of Physical Fitness for Entry to the Uniformed Services",RawScores,5,FALSE)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=Sum(CX11*300)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=vlookup("D/508/4055 - Develop Aspects of Physical Fitness for Entry to the Uniformed Services",RawScores,6,FALSE)</f>
      </c>
      <c r="DR11" s="1">
        <v>50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=Sum(CX12*300)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=vlookup("D/508/4055 - Develop Aspects of Physical Fitness for Entry to the Uniformed Services",RawScores,7,FALSE)</f>
      </c>
      <c r="DR12" s="1">
        <v>50</v>
      </c>
      <c r="DS12" s="1">
        <v>0</v>
      </c>
    </row>
    <row r="13">
      <c r="C13" s="1">
        <v>2</v>
      </c>
      <c r="D13" s="1">
        <v>2</v>
      </c>
      <c r="E13" s="1" t="s">
        <v>23</v>
      </c>
      <c r="F13" s="3" t="s">
        <v>17</v>
      </c>
      <c r="G13" s="1" t="s">
        <v>53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54</v>
      </c>
      <c r="CW13" s="1">
        <f>=IF(VLOOKUP(CV13,UnitSelections,2,FALSE) ="Not Applicable",0,60)</f>
      </c>
      <c r="CX13" s="1">
        <f>=Sum(CW13/TotalGHL)</f>
      </c>
      <c r="CY13" s="1">
        <f>=Sum(CX13*300)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55</v>
      </c>
      <c r="DQ13" s="1">
        <f>=vlookup("D/508/4055 - Develop Aspects of Physical Fitness for Entry to the Uniformed Services",RawScores,8,FALSE)</f>
      </c>
      <c r="DR13" s="1">
        <v>50</v>
      </c>
      <c r="DS13" s="1">
        <v>0</v>
      </c>
    </row>
    <row r="14">
      <c r="C14" s="1">
        <v>2</v>
      </c>
      <c r="D14" s="1">
        <v>3</v>
      </c>
      <c r="E14" s="1" t="s">
        <v>25</v>
      </c>
      <c r="F14" s="3" t="s">
        <v>17</v>
      </c>
      <c r="G14" s="1" t="s">
        <v>53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56</v>
      </c>
      <c r="CW14" s="1">
        <f>=IF(VLOOKUP(CV14,UnitSelections,2,FALSE) ="Not Applicable",0,60)</f>
      </c>
      <c r="CX14" s="1">
        <f>=Sum(CW14/TotalGHL)</f>
      </c>
      <c r="CY14" s="1">
        <f>=Sum(CX14*300)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57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53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=Sum(CX15*300)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53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=Sum(CX16*300)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=vlookup("H/508/4056 - Develop Leadership Skills",RawScores,5,FALSE)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53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=Sum(CX17*300)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=vlookup("H/508/4056 - Develop Leadership Skills",RawScores,6,FALSE)</f>
      </c>
      <c r="DR17" s="1">
        <v>50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53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=Sum(CX18*300)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=vlookup("H/508/4056 - Develop Leadership Skills",RawScores,7,FALSE)</f>
      </c>
      <c r="DR18" s="1">
        <v>50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53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=Sum(CX19*300)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=vlookup("H/508/4056 - Develop Leadership Skills",RawScores,8,FALSE)</f>
      </c>
      <c r="DR19" s="1">
        <v>50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53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=Sum(CX20*300)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53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=Sum(CX21*300)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53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=Sum(CX22*300)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=vlookup("K/508/4057 - Equality, Diversity and Inclusion",RawScores,5,FALSE)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54</v>
      </c>
      <c r="F23" s="3" t="s">
        <v>17</v>
      </c>
      <c r="G23" s="1" t="s">
        <v>53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=Sum(CX23*300)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=vlookup("K/508/4057 - Equality, Diversity and Inclusion",RawScores,6,FALSE)</f>
      </c>
      <c r="DR23" s="1">
        <v>50</v>
      </c>
      <c r="DS23" s="1">
        <v>0</v>
      </c>
    </row>
    <row r="24">
      <c r="C24" s="1">
        <v>2</v>
      </c>
      <c r="D24" s="1">
        <v>13</v>
      </c>
      <c r="E24" s="1" t="s">
        <v>56</v>
      </c>
      <c r="F24" s="3" t="s">
        <v>17</v>
      </c>
      <c r="G24" s="1" t="s">
        <v>53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=Sum(CX24*300)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=vlookup("K/508/4057 - Equality, Diversity and Inclusion",RawScores,7,FALSE)</f>
      </c>
      <c r="DR24" s="1">
        <v>50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53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=Sum(CX25*300)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=vlookup("K/508/4057 - Equality, Diversity and Inclusion",RawScores,8,FALSE)</f>
      </c>
      <c r="DR25" s="1">
        <v>50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53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=Sum(CX26*300)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53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W27" s="1">
        <f>=Sum(CW2:CW26)</f>
      </c>
      <c r="DP27" s="1" t="s">
        <v>82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53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83</v>
      </c>
      <c r="DQ28" s="1">
        <f>=vlookup("M/508/4058 - Uniformed Services Hierarchy and Routine",RawScores,5,FALSE)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53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84</v>
      </c>
      <c r="DQ29" s="1">
        <f>=vlookup("M/508/4058 - Uniformed Services Hierarchy and Routine",RawScores,6,FALSE)</f>
      </c>
      <c r="DR29" s="1">
        <v>50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53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85</v>
      </c>
      <c r="DQ30" s="1">
        <f>=vlookup("M/508/4058 - Uniformed Services Hierarchy and Routine",RawScores,7,FALSE)</f>
      </c>
      <c r="DR30" s="1">
        <v>50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53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86</v>
      </c>
      <c r="DQ31" s="1">
        <f>=vlookup("M/508/4058 - Uniformed Services Hierarchy and Routine",RawScores,8,FALSE)</f>
      </c>
      <c r="DR31" s="1">
        <v>50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53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87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53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88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53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89</v>
      </c>
      <c r="DQ34" s="1">
        <f>=vlookup("T/508/4059 - Values and Standards",RawScores,5,FALSE)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53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90</v>
      </c>
      <c r="DQ35" s="1">
        <f>=vlookup("T/508/4059 - Values and Standards",RawScores,6,FALSE)</f>
      </c>
      <c r="DR35" s="1">
        <v>50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53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91</v>
      </c>
      <c r="DQ36" s="1">
        <f>=vlookup("T/508/4059 - Values and Standards",RawScores,7,FALSE)</f>
      </c>
      <c r="DR36" s="1">
        <v>50</v>
      </c>
      <c r="DS36" s="1">
        <v>0</v>
      </c>
    </row>
    <row r="37">
      <c r="DP37" s="1" t="s">
        <v>92</v>
      </c>
      <c r="DQ37" s="1">
        <f>=vlookup("T/508/4059 - Values and Standards",RawScores,8,FALSE)</f>
      </c>
      <c r="DR37" s="1">
        <v>50</v>
      </c>
      <c r="DS37" s="1">
        <v>0</v>
      </c>
    </row>
    <row r="38">
      <c r="DP38" s="1" t="s">
        <v>93</v>
      </c>
      <c r="DQ38" s="1">
        <v>0</v>
      </c>
      <c r="DR38" s="1">
        <v>0</v>
      </c>
      <c r="DS38" s="1">
        <v>0</v>
      </c>
    </row>
    <row r="39">
      <c r="DP39" s="1" t="s">
        <v>94</v>
      </c>
      <c r="DQ39" s="1">
        <v>0</v>
      </c>
      <c r="DR39" s="1">
        <v>0</v>
      </c>
      <c r="DS39" s="1">
        <v>0</v>
      </c>
    </row>
    <row r="40">
      <c r="DP40" s="1" t="s">
        <v>95</v>
      </c>
      <c r="DQ40" s="1">
        <f>=vlookup("K/508/4060 - Mental and Physical Wellbeing",RawScores,5,FALSE)</f>
      </c>
      <c r="DR40" s="1">
        <v>0</v>
      </c>
      <c r="DS40" s="1">
        <v>1</v>
      </c>
    </row>
    <row r="41">
      <c r="DP41" s="1" t="s">
        <v>96</v>
      </c>
      <c r="DQ41" s="1">
        <f>=vlookup("K/508/4060 - Mental and Physical Wellbeing",RawScores,6,FALSE)</f>
      </c>
      <c r="DR41" s="1">
        <v>50</v>
      </c>
      <c r="DS41" s="1">
        <v>0</v>
      </c>
    </row>
    <row r="42">
      <c r="DP42" s="1" t="s">
        <v>97</v>
      </c>
      <c r="DQ42" s="1">
        <f>=vlookup("K/508/4060 - Mental and Physical Wellbeing",RawScores,7,FALSE)</f>
      </c>
      <c r="DR42" s="1">
        <v>50</v>
      </c>
      <c r="DS42" s="1">
        <v>0</v>
      </c>
    </row>
    <row r="43">
      <c r="DP43" s="1" t="s">
        <v>98</v>
      </c>
      <c r="DQ43" s="1">
        <f>=vlookup("K/508/4060 - Mental and Physical Wellbeing",RawScores,8,FALSE)</f>
      </c>
      <c r="DR43" s="1">
        <v>50</v>
      </c>
      <c r="DS43" s="1">
        <v>0</v>
      </c>
    </row>
    <row r="44">
      <c r="DP44" s="1" t="s">
        <v>99</v>
      </c>
      <c r="DQ44" s="1">
        <v>0</v>
      </c>
      <c r="DR44" s="1">
        <v>0</v>
      </c>
      <c r="DS44" s="1">
        <v>0</v>
      </c>
    </row>
    <row r="45">
      <c r="DP45" s="1" t="s">
        <v>100</v>
      </c>
      <c r="DQ45" s="1">
        <v>0</v>
      </c>
      <c r="DR45" s="1">
        <v>0</v>
      </c>
      <c r="DS45" s="1">
        <v>0</v>
      </c>
    </row>
    <row r="46">
      <c r="DP46" s="1" t="s">
        <v>101</v>
      </c>
      <c r="DQ46" s="1">
        <f>=vlookup("M/508/4061 - Carry Out Map Reading and Navigation Across Open Country",RawScores,5,FALSE)</f>
      </c>
      <c r="DR46" s="1">
        <v>0</v>
      </c>
      <c r="DS46" s="1">
        <v>1</v>
      </c>
    </row>
    <row r="47">
      <c r="DP47" s="1" t="s">
        <v>102</v>
      </c>
      <c r="DQ47" s="1">
        <f>=vlookup("M/508/4061 - Carry Out Map Reading and Navigation Across Open Country",RawScores,6,FALSE)</f>
      </c>
      <c r="DR47" s="1">
        <v>50</v>
      </c>
      <c r="DS47" s="1">
        <v>0</v>
      </c>
    </row>
    <row r="48">
      <c r="DP48" s="1" t="s">
        <v>103</v>
      </c>
      <c r="DQ48" s="1">
        <f>=vlookup("M/508/4061 - Carry Out Map Reading and Navigation Across Open Country",RawScores,7,FALSE)</f>
      </c>
      <c r="DR48" s="1">
        <v>50</v>
      </c>
      <c r="DS48" s="1">
        <v>0</v>
      </c>
    </row>
    <row r="49">
      <c r="DP49" s="1" t="s">
        <v>104</v>
      </c>
      <c r="DQ49" s="1">
        <f>=vlookup("M/508/4061 - Carry Out Map Reading and Navigation Across Open Country",RawScores,8,FALSE)</f>
      </c>
      <c r="DR49" s="1">
        <v>50</v>
      </c>
      <c r="DS49" s="1">
        <v>0</v>
      </c>
    </row>
    <row r="50">
      <c r="DP50" s="1" t="s">
        <v>105</v>
      </c>
      <c r="DQ50" s="1">
        <v>0</v>
      </c>
      <c r="DR50" s="1">
        <v>0</v>
      </c>
      <c r="DS50" s="1">
        <v>0</v>
      </c>
    </row>
    <row r="51">
      <c r="DP51" s="1" t="s">
        <v>106</v>
      </c>
      <c r="DQ51" s="1">
        <v>0</v>
      </c>
      <c r="DR51" s="1">
        <v>0</v>
      </c>
      <c r="DS51" s="1">
        <v>0</v>
      </c>
    </row>
    <row r="52">
      <c r="DP52" s="1" t="s">
        <v>107</v>
      </c>
      <c r="DQ52" s="1">
        <f>=vlookup("A/508/4063 - Telecommunications in the Uniformed Services ",RawScores,5,FALSE)</f>
      </c>
      <c r="DR52" s="1">
        <v>0</v>
      </c>
      <c r="DS52" s="1">
        <v>1</v>
      </c>
    </row>
    <row r="53">
      <c r="DP53" s="1" t="s">
        <v>108</v>
      </c>
      <c r="DQ53" s="1">
        <f>=vlookup("A/508/4063 - Telecommunications in the Uniformed Services ",RawScores,6,FALSE)</f>
      </c>
      <c r="DR53" s="1">
        <v>50</v>
      </c>
      <c r="DS53" s="1">
        <v>0</v>
      </c>
    </row>
    <row r="54">
      <c r="DP54" s="1" t="s">
        <v>109</v>
      </c>
      <c r="DQ54" s="1">
        <f>=vlookup("A/508/4063 - Telecommunications in the Uniformed Services ",RawScores,7,FALSE)</f>
      </c>
      <c r="DR54" s="1">
        <v>50</v>
      </c>
      <c r="DS54" s="1">
        <v>0</v>
      </c>
    </row>
    <row r="55">
      <c r="DP55" s="1" t="s">
        <v>110</v>
      </c>
      <c r="DQ55" s="1">
        <f>=vlookup("A/508/4063 - Telecommunications in the Uniformed Services ",RawScores,8,FALSE)</f>
      </c>
      <c r="DR55" s="1">
        <v>50</v>
      </c>
      <c r="DS55" s="1">
        <v>0</v>
      </c>
    </row>
    <row r="56">
      <c r="DP56" s="1" t="s">
        <v>111</v>
      </c>
      <c r="DQ56" s="1">
        <v>0</v>
      </c>
      <c r="DR56" s="1">
        <v>0</v>
      </c>
      <c r="DS56" s="1">
        <v>0</v>
      </c>
    </row>
    <row r="57">
      <c r="DP57" s="1" t="s">
        <v>112</v>
      </c>
      <c r="DQ57" s="1">
        <v>0</v>
      </c>
      <c r="DR57" s="1">
        <v>0</v>
      </c>
      <c r="DS57" s="1">
        <v>0</v>
      </c>
    </row>
    <row r="58">
      <c r="DP58" s="1" t="s">
        <v>113</v>
      </c>
      <c r="DQ58" s="1">
        <f>=vlookup("J/508/4065 - Understand Conflict Management and Personal Protection",RawScores,5,FALSE)</f>
      </c>
      <c r="DR58" s="1">
        <v>0</v>
      </c>
      <c r="DS58" s="1">
        <v>1</v>
      </c>
    </row>
    <row r="59">
      <c r="DP59" s="1" t="s">
        <v>114</v>
      </c>
      <c r="DQ59" s="1">
        <f>=vlookup("J/508/4065 - Understand Conflict Management and Personal Protection",RawScores,6,FALSE)</f>
      </c>
      <c r="DR59" s="1">
        <v>50</v>
      </c>
      <c r="DS59" s="1">
        <v>0</v>
      </c>
    </row>
    <row r="60">
      <c r="DP60" s="1" t="s">
        <v>115</v>
      </c>
      <c r="DQ60" s="1">
        <f>=vlookup("J/508/4065 - Understand Conflict Management and Personal Protection",RawScores,7,FALSE)</f>
      </c>
      <c r="DR60" s="1">
        <v>50</v>
      </c>
      <c r="DS60" s="1">
        <v>0</v>
      </c>
    </row>
    <row r="61">
      <c r="DP61" s="1" t="s">
        <v>116</v>
      </c>
      <c r="DQ61" s="1">
        <f>=vlookup("J/508/4065 - Understand Conflict Management and Personal Protection",RawScores,8,FALSE)</f>
      </c>
      <c r="DR61" s="1">
        <v>50</v>
      </c>
      <c r="DS61" s="1">
        <v>0</v>
      </c>
    </row>
    <row r="62">
      <c r="DP62" s="1" t="s">
        <v>117</v>
      </c>
      <c r="DQ62" s="1">
        <v>0</v>
      </c>
      <c r="DR62" s="1">
        <v>0</v>
      </c>
      <c r="DS62" s="1">
        <v>0</v>
      </c>
    </row>
    <row r="63">
      <c r="DP63" s="1" t="s">
        <v>118</v>
      </c>
      <c r="DQ63" s="1">
        <v>0</v>
      </c>
      <c r="DR63" s="1">
        <v>0</v>
      </c>
      <c r="DS63" s="1">
        <v>0</v>
      </c>
    </row>
    <row r="64">
      <c r="DP64" s="1" t="s">
        <v>119</v>
      </c>
      <c r="DQ64" s="1">
        <f>=vlookup("L/508/4066 - The Influence of UK Government, International Organisations and Media on the Uniformed Services",RawScores,5,FALSE)</f>
      </c>
      <c r="DR64" s="1">
        <v>0</v>
      </c>
      <c r="DS64" s="1">
        <v>1</v>
      </c>
    </row>
    <row r="65">
      <c r="DP65" s="1" t="s">
        <v>120</v>
      </c>
      <c r="DQ65" s="1">
        <f>=vlookup("L/508/4066 - The Influence of UK Government, International Organisations and Media on the Uniformed Services",RawScores,6,FALSE)</f>
      </c>
      <c r="DR65" s="1">
        <v>50</v>
      </c>
      <c r="DS65" s="1">
        <v>0</v>
      </c>
    </row>
    <row r="66">
      <c r="DP66" s="1" t="s">
        <v>121</v>
      </c>
      <c r="DQ66" s="1">
        <f>=vlookup("L/508/4066 - The Influence of UK Government, International Organisations and Media on the Uniformed Services",RawScores,7,FALSE)</f>
      </c>
      <c r="DR66" s="1">
        <v>50</v>
      </c>
      <c r="DS66" s="1">
        <v>0</v>
      </c>
    </row>
    <row r="67">
      <c r="DP67" s="1" t="s">
        <v>122</v>
      </c>
      <c r="DQ67" s="1">
        <f>=vlookup("L/508/4066 - The Influence of UK Government, International Organisations and Media on the Uniformed Services",RawScores,8,FALSE)</f>
      </c>
      <c r="DR67" s="1">
        <v>50</v>
      </c>
      <c r="DS67" s="1">
        <v>0</v>
      </c>
    </row>
    <row r="68">
      <c r="DP68" s="1" t="s">
        <v>123</v>
      </c>
      <c r="DQ68" s="1">
        <v>0</v>
      </c>
      <c r="DR68" s="1">
        <v>0</v>
      </c>
      <c r="DS68" s="1">
        <v>0</v>
      </c>
    </row>
    <row r="69">
      <c r="DP69" s="1" t="s">
        <v>124</v>
      </c>
      <c r="DQ69" s="1">
        <v>0</v>
      </c>
      <c r="DR69" s="1">
        <v>0</v>
      </c>
      <c r="DS69" s="1">
        <v>0</v>
      </c>
    </row>
    <row r="70">
      <c r="DP70" s="1" t="s">
        <v>125</v>
      </c>
      <c r="DQ70" s="1">
        <f>=vlookup("Y/508/4068 - Collaboration Between Uniformed Services",RawScores,5,FALSE)</f>
      </c>
      <c r="DR70" s="1">
        <v>0</v>
      </c>
      <c r="DS70" s="1">
        <v>1</v>
      </c>
    </row>
    <row r="71">
      <c r="DP71" s="1" t="s">
        <v>126</v>
      </c>
      <c r="DQ71" s="1">
        <f>=vlookup("Y/508/4068 - Collaboration Between Uniformed Services",RawScores,6,FALSE)</f>
      </c>
      <c r="DR71" s="1">
        <v>50</v>
      </c>
      <c r="DS71" s="1">
        <v>0</v>
      </c>
    </row>
    <row r="72">
      <c r="DP72" s="1" t="s">
        <v>127</v>
      </c>
      <c r="DQ72" s="1">
        <f>=vlookup("Y/508/4068 - Collaboration Between Uniformed Services",RawScores,7,FALSE)</f>
      </c>
      <c r="DR72" s="1">
        <v>50</v>
      </c>
      <c r="DS72" s="1">
        <v>0</v>
      </c>
    </row>
    <row r="73">
      <c r="DP73" s="1" t="s">
        <v>128</v>
      </c>
      <c r="DQ73" s="1">
        <f>=vlookup("Y/508/4068 - Collaboration Between Uniformed Services",RawScores,8,FALSE)</f>
      </c>
      <c r="DR73" s="1">
        <v>50</v>
      </c>
      <c r="DS73" s="1">
        <v>0</v>
      </c>
    </row>
    <row r="74">
      <c r="DP74" s="1" t="s">
        <v>129</v>
      </c>
      <c r="DQ74" s="1">
        <v>0</v>
      </c>
      <c r="DR74" s="1">
        <v>0</v>
      </c>
      <c r="DS74" s="1">
        <v>0</v>
      </c>
    </row>
    <row r="75">
      <c r="DP75" s="1" t="s">
        <v>130</v>
      </c>
      <c r="DQ75" s="1">
        <v>0</v>
      </c>
      <c r="DR75" s="1">
        <v>0</v>
      </c>
      <c r="DS75" s="1">
        <v>0</v>
      </c>
    </row>
    <row r="76">
      <c r="DP76" s="1" t="s">
        <v>131</v>
      </c>
      <c r="DQ76" s="1">
        <f>=vlookup("D/508/4069 - Emergency Planning and Response in the Uniformed Services",RawScores,5,FALSE)</f>
      </c>
      <c r="DR76" s="1">
        <v>0</v>
      </c>
      <c r="DS76" s="1">
        <v>1</v>
      </c>
    </row>
    <row r="77">
      <c r="DP77" s="1" t="s">
        <v>132</v>
      </c>
      <c r="DQ77" s="1">
        <f>=vlookup("D/508/4069 - Emergency Planning and Response in the Uniformed Services",RawScores,6,FALSE)</f>
      </c>
      <c r="DR77" s="1">
        <v>50</v>
      </c>
      <c r="DS77" s="1">
        <v>0</v>
      </c>
    </row>
    <row r="78">
      <c r="DP78" s="1" t="s">
        <v>133</v>
      </c>
      <c r="DQ78" s="1">
        <f>=vlookup("D/508/4069 - Emergency Planning and Response in the Uniformed Services",RawScores,7,FALSE)</f>
      </c>
      <c r="DR78" s="1">
        <v>50</v>
      </c>
      <c r="DS78" s="1">
        <v>0</v>
      </c>
    </row>
    <row r="79">
      <c r="DP79" s="1" t="s">
        <v>134</v>
      </c>
      <c r="DQ79" s="1">
        <f>=vlookup("D/508/4069 - Emergency Planning and Response in the Uniformed Services",RawScores,8,FALSE)</f>
      </c>
      <c r="DR79" s="1">
        <v>50</v>
      </c>
      <c r="DS79" s="1">
        <v>0</v>
      </c>
    </row>
    <row r="80">
      <c r="DP80" s="1" t="s">
        <v>135</v>
      </c>
      <c r="DQ80" s="1">
        <v>0</v>
      </c>
      <c r="DR80" s="1">
        <v>0</v>
      </c>
      <c r="DS80" s="1">
        <v>0</v>
      </c>
    </row>
    <row r="81">
      <c r="DP81" s="1" t="s">
        <v>136</v>
      </c>
      <c r="DQ81" s="1">
        <v>0</v>
      </c>
      <c r="DR81" s="1">
        <v>0</v>
      </c>
      <c r="DS81" s="1">
        <v>0</v>
      </c>
    </row>
    <row r="82">
      <c r="DP82" s="1" t="s">
        <v>137</v>
      </c>
      <c r="DQ82" s="1">
        <f>=vlookup("R/508/4070 - Understand the Impact of War and Conflict on Uniformed Services",RawScores,5,FALSE)</f>
      </c>
      <c r="DR82" s="1">
        <v>0</v>
      </c>
      <c r="DS82" s="1">
        <v>1</v>
      </c>
    </row>
    <row r="83">
      <c r="DP83" s="1" t="s">
        <v>138</v>
      </c>
      <c r="DQ83" s="1">
        <f>=vlookup("R/508/4070 - Understand the Impact of War and Conflict on Uniformed Services",RawScores,6,FALSE)</f>
      </c>
      <c r="DR83" s="1">
        <v>50</v>
      </c>
      <c r="DS83" s="1">
        <v>0</v>
      </c>
    </row>
    <row r="84">
      <c r="DP84" s="1" t="s">
        <v>139</v>
      </c>
      <c r="DQ84" s="1">
        <f>=vlookup("R/508/4070 - Understand the Impact of War and Conflict on Uniformed Services",RawScores,7,FALSE)</f>
      </c>
      <c r="DR84" s="1">
        <v>50</v>
      </c>
      <c r="DS84" s="1">
        <v>0</v>
      </c>
    </row>
    <row r="85">
      <c r="DP85" s="1" t="s">
        <v>140</v>
      </c>
      <c r="DQ85" s="1">
        <f>=vlookup("R/508/4070 - Understand the Impact of War and Conflict on Uniformed Services",RawScores,8,FALSE)</f>
      </c>
      <c r="DR85" s="1">
        <v>50</v>
      </c>
      <c r="DS85" s="1">
        <v>0</v>
      </c>
    </row>
    <row r="86">
      <c r="DP86" s="1" t="s">
        <v>141</v>
      </c>
      <c r="DQ86" s="1">
        <v>0</v>
      </c>
      <c r="DR86" s="1">
        <v>0</v>
      </c>
      <c r="DS86" s="1">
        <v>0</v>
      </c>
    </row>
    <row r="87">
      <c r="DP87" s="1" t="s">
        <v>142</v>
      </c>
      <c r="DQ87" s="1">
        <v>0</v>
      </c>
      <c r="DR87" s="1">
        <v>0</v>
      </c>
      <c r="DS87" s="1">
        <v>0</v>
      </c>
    </row>
    <row r="88">
      <c r="DP88" s="1" t="s">
        <v>143</v>
      </c>
      <c r="DQ88" s="1">
        <f>=vlookup("D/508/4122 - Sports Coaching",RawScores,5,FALSE)</f>
      </c>
      <c r="DR88" s="1">
        <v>0</v>
      </c>
      <c r="DS88" s="1">
        <v>1</v>
      </c>
    </row>
    <row r="89">
      <c r="DP89" s="1" t="s">
        <v>144</v>
      </c>
      <c r="DQ89" s="1">
        <f>=vlookup("D/508/4122 - Sports Coaching",RawScores,6,FALSE)</f>
      </c>
      <c r="DR89" s="1">
        <v>50</v>
      </c>
      <c r="DS89" s="1">
        <v>0</v>
      </c>
    </row>
    <row r="90">
      <c r="DP90" s="1" t="s">
        <v>145</v>
      </c>
      <c r="DQ90" s="1">
        <f>=vlookup("D/508/4122 - Sports Coaching",RawScores,7,FALSE)</f>
      </c>
      <c r="DR90" s="1">
        <v>50</v>
      </c>
      <c r="DS90" s="1">
        <v>0</v>
      </c>
    </row>
    <row r="91">
      <c r="DP91" s="1" t="s">
        <v>146</v>
      </c>
      <c r="DQ91" s="1">
        <f>=vlookup("D/508/4122 - Sports Coaching",RawScores,8,FALSE)</f>
      </c>
      <c r="DR91" s="1">
        <v>50</v>
      </c>
      <c r="DS91" s="1">
        <v>0</v>
      </c>
    </row>
    <row r="92">
      <c r="DP92" s="1" t="s">
        <v>147</v>
      </c>
      <c r="DQ92" s="1">
        <v>0</v>
      </c>
      <c r="DR92" s="1">
        <v>0</v>
      </c>
      <c r="DS92" s="1">
        <v>0</v>
      </c>
    </row>
    <row r="93">
      <c r="DP93" s="1" t="s">
        <v>148</v>
      </c>
      <c r="DQ93" s="1">
        <v>0</v>
      </c>
      <c r="DR93" s="1">
        <v>0</v>
      </c>
      <c r="DS93" s="1">
        <v>0</v>
      </c>
    </row>
    <row r="94">
      <c r="DP94" s="1" t="s">
        <v>149</v>
      </c>
      <c r="DQ94" s="1">
        <f>=vlookup("H/508/4123 - Skills for Land-Based Outdoor and Adventurous Activities ",RawScores,5,FALSE)</f>
      </c>
      <c r="DR94" s="1">
        <v>0</v>
      </c>
      <c r="DS94" s="1">
        <v>1</v>
      </c>
    </row>
    <row r="95">
      <c r="DP95" s="1" t="s">
        <v>150</v>
      </c>
      <c r="DQ95" s="1">
        <f>=vlookup("H/508/4123 - Skills for Land-Based Outdoor and Adventurous Activities ",RawScores,6,FALSE)</f>
      </c>
      <c r="DR95" s="1">
        <v>50</v>
      </c>
      <c r="DS95" s="1">
        <v>0</v>
      </c>
    </row>
    <row r="96">
      <c r="DP96" s="1" t="s">
        <v>151</v>
      </c>
      <c r="DQ96" s="1">
        <f>=vlookup("H/508/4123 - Skills for Land-Based Outdoor and Adventurous Activities ",RawScores,7,FALSE)</f>
      </c>
      <c r="DR96" s="1">
        <v>50</v>
      </c>
      <c r="DS96" s="1">
        <v>0</v>
      </c>
    </row>
    <row r="97">
      <c r="DP97" s="1" t="s">
        <v>152</v>
      </c>
      <c r="DQ97" s="1">
        <f>=vlookup("H/508/4123 - Skills for Land-Based Outdoor and Adventurous Activities ",RawScores,8,FALSE)</f>
      </c>
      <c r="DR97" s="1">
        <v>50</v>
      </c>
      <c r="DS97" s="1">
        <v>0</v>
      </c>
    </row>
    <row r="98">
      <c r="DP98" s="1" t="s">
        <v>153</v>
      </c>
      <c r="DQ98" s="1">
        <v>0</v>
      </c>
      <c r="DR98" s="1">
        <v>0</v>
      </c>
      <c r="DS98" s="1">
        <v>0</v>
      </c>
    </row>
    <row r="99">
      <c r="DP99" s="1" t="s">
        <v>154</v>
      </c>
      <c r="DQ99" s="1">
        <v>0</v>
      </c>
      <c r="DR99" s="1">
        <v>0</v>
      </c>
      <c r="DS99" s="1">
        <v>0</v>
      </c>
    </row>
    <row r="100">
      <c r="DP100" s="1" t="s">
        <v>155</v>
      </c>
      <c r="DQ100" s="1">
        <f>=vlookup("K/508/4124 - Skills for Water-Based Outdoor and Adventurous Activities",RawScores,5,FALSE)</f>
      </c>
      <c r="DR100" s="1">
        <v>0</v>
      </c>
      <c r="DS100" s="1">
        <v>1</v>
      </c>
    </row>
    <row r="101">
      <c r="DP101" s="1" t="s">
        <v>156</v>
      </c>
      <c r="DQ101" s="1">
        <f>=vlookup("K/508/4124 - Skills for Water-Based Outdoor and Adventurous Activities",RawScores,6,FALSE)</f>
      </c>
      <c r="DR101" s="1">
        <v>50</v>
      </c>
      <c r="DS101" s="1">
        <v>0</v>
      </c>
    </row>
    <row r="102">
      <c r="DP102" s="1" t="s">
        <v>157</v>
      </c>
      <c r="DQ102" s="1">
        <f>=vlookup("K/508/4124 - Skills for Water-Based Outdoor and Adventurous Activities",RawScores,7,FALSE)</f>
      </c>
      <c r="DR102" s="1">
        <v>50</v>
      </c>
      <c r="DS102" s="1">
        <v>0</v>
      </c>
    </row>
    <row r="103">
      <c r="DP103" s="1" t="s">
        <v>158</v>
      </c>
      <c r="DQ103" s="1">
        <f>=vlookup("K/508/4124 - Skills for Water-Based Outdoor and Adventurous Activities",RawScores,8,FALSE)</f>
      </c>
      <c r="DR103" s="1">
        <v>50</v>
      </c>
      <c r="DS103" s="1">
        <v>0</v>
      </c>
    </row>
    <row r="104">
      <c r="DP104" s="1" t="s">
        <v>159</v>
      </c>
      <c r="DQ104" s="1">
        <v>0</v>
      </c>
      <c r="DR104" s="1">
        <v>0</v>
      </c>
      <c r="DS104" s="1">
        <v>0</v>
      </c>
    </row>
    <row r="105">
      <c r="DP105" s="1" t="s">
        <v>160</v>
      </c>
      <c r="DQ105" s="1">
        <v>0</v>
      </c>
      <c r="DR105" s="1">
        <v>0</v>
      </c>
      <c r="DS105" s="1">
        <v>0</v>
      </c>
    </row>
    <row r="106">
      <c r="DP106" s="1" t="s">
        <v>161</v>
      </c>
      <c r="DQ106" s="1">
        <f>=vlookup("M/508/4125 - Outdoor and Adventurous Expeditions",RawScores,5,FALSE)</f>
      </c>
      <c r="DR106" s="1">
        <v>0</v>
      </c>
      <c r="DS106" s="1">
        <v>1</v>
      </c>
    </row>
    <row r="107">
      <c r="DP107" s="1" t="s">
        <v>162</v>
      </c>
      <c r="DQ107" s="1">
        <f>=vlookup("M/508/4125 - Outdoor and Adventurous Expeditions",RawScores,6,FALSE)</f>
      </c>
      <c r="DR107" s="1">
        <v>50</v>
      </c>
      <c r="DS107" s="1">
        <v>0</v>
      </c>
    </row>
    <row r="108">
      <c r="DP108" s="1" t="s">
        <v>163</v>
      </c>
      <c r="DQ108" s="1">
        <f>=vlookup("M/508/4125 - Outdoor and Adventurous Expeditions",RawScores,7,FALSE)</f>
      </c>
      <c r="DR108" s="1">
        <v>50</v>
      </c>
      <c r="DS108" s="1">
        <v>0</v>
      </c>
    </row>
    <row r="109">
      <c r="DP109" s="1" t="s">
        <v>164</v>
      </c>
      <c r="DQ109" s="1">
        <f>=vlookup("M/508/4125 - Outdoor and Adventurous Expeditions",RawScores,8,FALSE)</f>
      </c>
      <c r="DR109" s="1">
        <v>50</v>
      </c>
      <c r="DS109" s="1">
        <v>0</v>
      </c>
    </row>
    <row r="110">
      <c r="DP110" s="1" t="s">
        <v>165</v>
      </c>
      <c r="DQ110" s="1">
        <v>0</v>
      </c>
      <c r="DR110" s="1">
        <v>0</v>
      </c>
      <c r="DS110" s="1">
        <v>0</v>
      </c>
    </row>
    <row r="111">
      <c r="DP111" s="1" t="s">
        <v>166</v>
      </c>
      <c r="DQ111" s="1">
        <v>0</v>
      </c>
      <c r="DR111" s="1">
        <v>0</v>
      </c>
      <c r="DS111" s="1">
        <v>0</v>
      </c>
    </row>
    <row r="112">
      <c r="DP112" s="1" t="s">
        <v>167</v>
      </c>
      <c r="DQ112" s="1">
        <f>=vlookup("Y/508/4071 - Understanding Discipline in the Uniformed Services",RawScores,5,FALSE)</f>
      </c>
      <c r="DR112" s="1">
        <v>0</v>
      </c>
      <c r="DS112" s="1">
        <v>1</v>
      </c>
    </row>
    <row r="113">
      <c r="DP113" s="1" t="s">
        <v>168</v>
      </c>
      <c r="DQ113" s="1">
        <f>=vlookup("Y/508/4071 - Understanding Discipline in the Uniformed Services",RawScores,6,FALSE)</f>
      </c>
      <c r="DR113" s="1">
        <v>50</v>
      </c>
      <c r="DS113" s="1">
        <v>0</v>
      </c>
    </row>
    <row r="114">
      <c r="DP114" s="1" t="s">
        <v>169</v>
      </c>
      <c r="DQ114" s="1">
        <f>=vlookup("Y/508/4071 - Understanding Discipline in the Uniformed Services",RawScores,7,FALSE)</f>
      </c>
      <c r="DR114" s="1">
        <v>50</v>
      </c>
      <c r="DS114" s="1">
        <v>0</v>
      </c>
    </row>
    <row r="115">
      <c r="DP115" s="1" t="s">
        <v>170</v>
      </c>
      <c r="DQ115" s="1">
        <f>=vlookup("Y/508/4071 - Understanding Discipline in the Uniformed Services",RawScores,8,FALSE)</f>
      </c>
      <c r="DR115" s="1">
        <v>50</v>
      </c>
      <c r="DS115" s="1">
        <v>0</v>
      </c>
    </row>
    <row r="116">
      <c r="DP116" s="1" t="s">
        <v>171</v>
      </c>
      <c r="DQ116" s="1">
        <v>0</v>
      </c>
      <c r="DR116" s="1">
        <v>0</v>
      </c>
      <c r="DS116" s="1">
        <v>0</v>
      </c>
    </row>
    <row r="117">
      <c r="DP117" s="1" t="s">
        <v>172</v>
      </c>
      <c r="DQ117" s="1">
        <v>0</v>
      </c>
      <c r="DR117" s="1">
        <v>0</v>
      </c>
      <c r="DS117" s="1">
        <v>0</v>
      </c>
    </row>
    <row r="118">
      <c r="DP118" s="1" t="s">
        <v>173</v>
      </c>
      <c r="DQ118" s="1">
        <f>=vlookup("D/508/4072 - UK Legal Systems and Uniformed Services",RawScores,5,FALSE)</f>
      </c>
      <c r="DR118" s="1">
        <v>0</v>
      </c>
      <c r="DS118" s="1">
        <v>1</v>
      </c>
    </row>
    <row r="119">
      <c r="DP119" s="1" t="s">
        <v>174</v>
      </c>
      <c r="DQ119" s="1">
        <f>=vlookup("D/508/4072 - UK Legal Systems and Uniformed Services",RawScores,6,FALSE)</f>
      </c>
      <c r="DR119" s="1">
        <v>50</v>
      </c>
      <c r="DS119" s="1">
        <v>0</v>
      </c>
    </row>
    <row r="120">
      <c r="DP120" s="1" t="s">
        <v>175</v>
      </c>
      <c r="DQ120" s="1">
        <f>=vlookup("D/508/4072 - UK Legal Systems and Uniformed Services",RawScores,7,FALSE)</f>
      </c>
      <c r="DR120" s="1">
        <v>50</v>
      </c>
      <c r="DS120" s="1">
        <v>0</v>
      </c>
    </row>
    <row r="121">
      <c r="DP121" s="1" t="s">
        <v>176</v>
      </c>
      <c r="DQ121" s="1">
        <f>=vlookup("D/508/4072 - UK Legal Systems and Uniformed Services",RawScores,8,FALSE)</f>
      </c>
      <c r="DR121" s="1">
        <v>50</v>
      </c>
      <c r="DS121" s="1">
        <v>0</v>
      </c>
    </row>
    <row r="122">
      <c r="DP122" s="1" t="s">
        <v>177</v>
      </c>
      <c r="DQ122" s="1">
        <v>0</v>
      </c>
      <c r="DR122" s="1">
        <v>0</v>
      </c>
      <c r="DS122" s="1">
        <v>0</v>
      </c>
    </row>
    <row r="123">
      <c r="DP123" s="1" t="s">
        <v>178</v>
      </c>
      <c r="DQ123" s="1">
        <v>0</v>
      </c>
      <c r="DR123" s="1">
        <v>0</v>
      </c>
      <c r="DS123" s="1">
        <v>0</v>
      </c>
    </row>
    <row r="124">
      <c r="DP124" s="1" t="s">
        <v>179</v>
      </c>
      <c r="DQ124" s="1">
        <f>=vlookup("H/508/4073 - Crime Scene Investigation",RawScores,5,FALSE)</f>
      </c>
      <c r="DR124" s="1">
        <v>0</v>
      </c>
      <c r="DS124" s="1">
        <v>1</v>
      </c>
    </row>
    <row r="125">
      <c r="DP125" s="1" t="s">
        <v>180</v>
      </c>
      <c r="DQ125" s="1">
        <f>=vlookup("H/508/4073 - Crime Scene Investigation",RawScores,6,FALSE)</f>
      </c>
      <c r="DR125" s="1">
        <v>50</v>
      </c>
      <c r="DS125" s="1">
        <v>0</v>
      </c>
    </row>
    <row r="126">
      <c r="DP126" s="1" t="s">
        <v>181</v>
      </c>
      <c r="DQ126" s="1">
        <f>=vlookup("H/508/4073 - Crime Scene Investigation",RawScores,7,FALSE)</f>
      </c>
      <c r="DR126" s="1">
        <v>50</v>
      </c>
      <c r="DS126" s="1">
        <v>0</v>
      </c>
    </row>
    <row r="127">
      <c r="DP127" s="1" t="s">
        <v>182</v>
      </c>
      <c r="DQ127" s="1">
        <f>=vlookup("H/508/4073 - Crime Scene Investigation",RawScores,8,FALSE)</f>
      </c>
      <c r="DR127" s="1">
        <v>50</v>
      </c>
      <c r="DS127" s="1">
        <v>0</v>
      </c>
    </row>
    <row r="128">
      <c r="DP128" s="1" t="s">
        <v>183</v>
      </c>
      <c r="DQ128" s="1">
        <v>0</v>
      </c>
      <c r="DR128" s="1">
        <v>0</v>
      </c>
      <c r="DS128" s="1">
        <v>0</v>
      </c>
    </row>
    <row r="129">
      <c r="DP129" s="1" t="s">
        <v>184</v>
      </c>
      <c r="DQ129" s="1">
        <v>0</v>
      </c>
      <c r="DR129" s="1">
        <v>0</v>
      </c>
      <c r="DS129" s="1">
        <v>0</v>
      </c>
    </row>
    <row r="130">
      <c r="DP130" s="1" t="s">
        <v>185</v>
      </c>
      <c r="DQ130" s="1">
        <f>=vlookup("M/508/4075 - ICT in the Uniformed Services",RawScores,5,FALSE)</f>
      </c>
      <c r="DR130" s="1">
        <v>0</v>
      </c>
      <c r="DS130" s="1">
        <v>1</v>
      </c>
    </row>
    <row r="131">
      <c r="DP131" s="1" t="s">
        <v>186</v>
      </c>
      <c r="DQ131" s="1">
        <f>=vlookup("M/508/4075 - ICT in the Uniformed Services",RawScores,6,FALSE)</f>
      </c>
      <c r="DR131" s="1">
        <v>50</v>
      </c>
      <c r="DS131" s="1">
        <v>0</v>
      </c>
    </row>
    <row r="132">
      <c r="DP132" s="1" t="s">
        <v>187</v>
      </c>
      <c r="DQ132" s="1">
        <f>=vlookup("M/508/4075 - ICT in the Uniformed Services",RawScores,7,FALSE)</f>
      </c>
      <c r="DR132" s="1">
        <v>50</v>
      </c>
      <c r="DS132" s="1">
        <v>0</v>
      </c>
    </row>
    <row r="133">
      <c r="DP133" s="1" t="s">
        <v>188</v>
      </c>
      <c r="DQ133" s="1">
        <f>=vlookup("M/508/4075 - ICT in the Uniformed Services",RawScores,8,FALSE)</f>
      </c>
      <c r="DR133" s="1">
        <v>50</v>
      </c>
      <c r="DS133" s="1">
        <v>0</v>
      </c>
    </row>
    <row r="134">
      <c r="DP134" s="1" t="s">
        <v>189</v>
      </c>
      <c r="DQ134" s="1">
        <v>0</v>
      </c>
      <c r="DR134" s="1">
        <v>0</v>
      </c>
      <c r="DS134" s="1">
        <v>0</v>
      </c>
    </row>
    <row r="135">
      <c r="DP135" s="1" t="s">
        <v>190</v>
      </c>
      <c r="DQ135" s="1">
        <v>0</v>
      </c>
      <c r="DR135" s="1">
        <v>0</v>
      </c>
      <c r="DS135" s="1">
        <v>0</v>
      </c>
    </row>
    <row r="136">
      <c r="DP136" s="1" t="s">
        <v>191</v>
      </c>
      <c r="DQ136" s="1">
        <f>=vlookup("T/508/4076 - Volunteering in the Uniformed Services",RawScores,5,FALSE)</f>
      </c>
      <c r="DR136" s="1">
        <v>0</v>
      </c>
      <c r="DS136" s="1">
        <v>1</v>
      </c>
    </row>
    <row r="137">
      <c r="DP137" s="1" t="s">
        <v>192</v>
      </c>
      <c r="DQ137" s="1">
        <f>=vlookup("T/508/4076 - Volunteering in the Uniformed Services",RawScores,6,FALSE)</f>
      </c>
      <c r="DR137" s="1">
        <v>50</v>
      </c>
      <c r="DS137" s="1">
        <v>0</v>
      </c>
    </row>
    <row r="138">
      <c r="DP138" s="1" t="s">
        <v>193</v>
      </c>
      <c r="DQ138" s="1">
        <f>=vlookup("T/508/4076 - Volunteering in the Uniformed Services",RawScores,7,FALSE)</f>
      </c>
      <c r="DR138" s="1">
        <v>50</v>
      </c>
      <c r="DS138" s="1">
        <v>0</v>
      </c>
    </row>
    <row r="139">
      <c r="DP139" s="1" t="s">
        <v>194</v>
      </c>
      <c r="DQ139" s="1">
        <f>=vlookup("T/508/4076 - Volunteering in the Uniformed Services",RawScores,8,FALSE)</f>
      </c>
      <c r="DR139" s="1">
        <v>50</v>
      </c>
      <c r="DS139" s="1">
        <v>0</v>
      </c>
    </row>
    <row r="140">
      <c r="DP140" s="1" t="s">
        <v>195</v>
      </c>
      <c r="DQ140" s="1">
        <v>0</v>
      </c>
      <c r="DR140" s="1">
        <v>0</v>
      </c>
      <c r="DS140" s="1">
        <v>0</v>
      </c>
    </row>
    <row r="141">
      <c r="DP141" s="1" t="s">
        <v>196</v>
      </c>
      <c r="DQ141" s="1">
        <v>0</v>
      </c>
      <c r="DR141" s="1">
        <v>0</v>
      </c>
      <c r="DS141" s="1">
        <v>0</v>
      </c>
    </row>
    <row r="142">
      <c r="DP142" s="1" t="s">
        <v>197</v>
      </c>
      <c r="DQ142" s="1">
        <f>=vlookup("A/508/4077 - Human Resources in the Uniformed Services",RawScores,5,FALSE)</f>
      </c>
      <c r="DR142" s="1">
        <v>0</v>
      </c>
      <c r="DS142" s="1">
        <v>1</v>
      </c>
    </row>
    <row r="143">
      <c r="DP143" s="1" t="s">
        <v>198</v>
      </c>
      <c r="DQ143" s="1">
        <f>=vlookup("A/508/4077 - Human Resources in the Uniformed Services",RawScores,6,FALSE)</f>
      </c>
      <c r="DR143" s="1">
        <v>50</v>
      </c>
      <c r="DS143" s="1">
        <v>0</v>
      </c>
    </row>
    <row r="144">
      <c r="DP144" s="1" t="s">
        <v>199</v>
      </c>
      <c r="DQ144" s="1">
        <f>=vlookup("A/508/4077 - Human Resources in the Uniformed Services",RawScores,7,FALSE)</f>
      </c>
      <c r="DR144" s="1">
        <v>50</v>
      </c>
      <c r="DS144" s="1">
        <v>0</v>
      </c>
    </row>
    <row r="145">
      <c r="DP145" s="1" t="s">
        <v>200</v>
      </c>
      <c r="DQ145" s="1">
        <f>=vlookup("A/508/4077 - Human Resources in the Uniformed Services",RawScores,8,FALSE)</f>
      </c>
      <c r="DR145" s="1">
        <v>50</v>
      </c>
      <c r="DS145" s="1">
        <v>0</v>
      </c>
    </row>
    <row r="146">
      <c r="DP146" s="1" t="s">
        <v>201</v>
      </c>
      <c r="DQ146" s="1">
        <v>0</v>
      </c>
      <c r="DR146" s="1">
        <v>0</v>
      </c>
      <c r="DS146" s="1">
        <v>0</v>
      </c>
    </row>
    <row r="147">
      <c r="DP147" s="1" t="s">
        <v>202</v>
      </c>
      <c r="DQ147" s="1">
        <v>0</v>
      </c>
      <c r="DR147" s="1">
        <v>0</v>
      </c>
      <c r="DS147" s="1">
        <v>0</v>
      </c>
    </row>
    <row r="148">
      <c r="DP148" s="1" t="s">
        <v>203</v>
      </c>
      <c r="DQ148" s="1">
        <f>=vlookup("F/508/4078 - Security Procedures in the Uniformed Services",RawScores,5,FALSE)</f>
      </c>
      <c r="DR148" s="1">
        <v>0</v>
      </c>
      <c r="DS148" s="1">
        <v>1</v>
      </c>
    </row>
    <row r="149">
      <c r="DP149" s="1" t="s">
        <v>204</v>
      </c>
      <c r="DQ149" s="1">
        <f>=vlookup("F/508/4078 - Security Procedures in the Uniformed Services",RawScores,6,FALSE)</f>
      </c>
      <c r="DR149" s="1">
        <v>50</v>
      </c>
      <c r="DS149" s="1">
        <v>0</v>
      </c>
    </row>
    <row r="150">
      <c r="DP150" s="1" t="s">
        <v>205</v>
      </c>
      <c r="DQ150" s="1">
        <f>=vlookup("F/508/4078 - Security Procedures in the Uniformed Services",RawScores,7,FALSE)</f>
      </c>
      <c r="DR150" s="1">
        <v>50</v>
      </c>
      <c r="DS150" s="1">
        <v>0</v>
      </c>
    </row>
    <row r="151">
      <c r="DP151" s="1" t="s">
        <v>206</v>
      </c>
      <c r="DQ151" s="1">
        <f>=vlookup("F/508/4078 - Security Procedures in the Uniformed Services",RawScores,8,FALSE)</f>
      </c>
      <c r="DR151" s="1">
        <v>50</v>
      </c>
      <c r="DS151" s="1">
        <v>0</v>
      </c>
    </row>
  </sheetData>
  <sheetProtection sheet="1" password="a096" formatColumns="0"/>
  <dataValidations count="25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=Grades</formula1>
    </dataValidation>
    <dataValidation type="list" sqref="F14" showErrorMessage="1" allowBlank="1" errorStyle="stop" errorTitle="Error" error="Selection not valid">
      <formula1>=Grades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</dataValidations>
  <headerFooter/>
  <drawing r:id="rId1"/>
</worksheet>
</file>