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xternal Quality Assurance\Assessment Design\2. V Certs\Grading Calculator\Website Grading Calculator\Sept 18 Rebuilds\"/>
    </mc:Choice>
  </mc:AlternateContent>
  <bookViews>
    <workbookView xWindow="0" yWindow="0" windowWidth="10290" windowHeight="7545"/>
  </bookViews>
  <sheets>
    <sheet name="Qualification Grade" sheetId="1" r:id="rId1"/>
  </sheets>
  <definedNames>
    <definedName name="ExternalHeadder" localSheetId="0">'Qualification Grade'!$FI$1:$FL$1</definedName>
    <definedName name="ExternalMet" localSheetId="0">'Qualification Grade'!$Q$14</definedName>
    <definedName name="ExternalPass">'Qualification Grade'!$FD$4</definedName>
    <definedName name="ExternalSelect" localSheetId="0">'Qualification Grade'!$FI$2:$FI$6</definedName>
    <definedName name="ExternalUMS" localSheetId="0">'Qualification Grade'!$FI$1:$FL$6</definedName>
    <definedName name="Grades" localSheetId="0">'Qualification Grade'!$EJ$1:$EJ$5</definedName>
    <definedName name="GroupsGroup" localSheetId="0">'Qualification Grade'!$C$12:$C$20</definedName>
    <definedName name="HasMet" localSheetId="0">'Qualification Grade'!$BB$2</definedName>
    <definedName name="HurdleGroup" localSheetId="0">'Qualification Grade'!$J$12:$J$19</definedName>
    <definedName name="InternalAssessment" localSheetId="0">'Qualification Grade'!$DP$1:$DS$49</definedName>
    <definedName name="MandatoryGrades" localSheetId="0">'Qualification Grade'!$EL$1:$EL$4</definedName>
    <definedName name="MandatoryScoreGroup" localSheetId="0">'Qualification Grade'!$I$12:$I$19</definedName>
    <definedName name="RawGrade" localSheetId="0">'Qualification Grade'!$BC$2</definedName>
    <definedName name="RawMaxGradeCalc" localSheetId="0">'Qualification Grade'!$FF$1:$FG$6</definedName>
    <definedName name="RawScores" localSheetId="0">'Qualification Grade'!$CV$1:$DC$9</definedName>
    <definedName name="RawUmsPercent" localSheetId="0">'Qualification Grade'!$AY$2</definedName>
    <definedName name="Selections" localSheetId="0">'Qualification Grade'!$F$12:$F$19</definedName>
    <definedName name="TotalExternalUMS" localSheetId="0">'Qualification Grade'!$P$14</definedName>
    <definedName name="TotalGHL" localSheetId="0">'Qualification Grade'!$CW$10</definedName>
    <definedName name="TotalGradeCalc" localSheetId="0">'Qualification Grade'!$AA$5:$AB$10</definedName>
    <definedName name="TotalInternalUMS" localSheetId="0">'Qualification Grade'!$AX$2</definedName>
    <definedName name="TotalUMS" localSheetId="0">'Qualification Grade'!$AB$2</definedName>
    <definedName name="UMSGroup" localSheetId="0">'Qualification Grade'!$H$12:$H$17</definedName>
    <definedName name="UnitSelections" localSheetId="0">'Qualification Grade'!$E$11:$F$19</definedName>
  </definedNames>
  <calcPr calcId="162913"/>
</workbook>
</file>

<file path=xl/calcChain.xml><?xml version="1.0" encoding="utf-8"?>
<calcChain xmlns="http://schemas.openxmlformats.org/spreadsheetml/2006/main">
  <c r="FK6" i="1" l="1"/>
  <c r="FK5" i="1"/>
  <c r="FK4" i="1"/>
  <c r="FK3" i="1"/>
  <c r="FJ6" i="1"/>
  <c r="FJ5" i="1"/>
  <c r="FJ4" i="1"/>
  <c r="FJ3" i="1"/>
  <c r="R13" i="1" l="1"/>
  <c r="R12" i="1"/>
  <c r="K13" i="1"/>
  <c r="K14" i="1"/>
  <c r="K15" i="1"/>
  <c r="K16" i="1"/>
  <c r="K17" i="1"/>
  <c r="K12" i="1"/>
  <c r="DR37" i="1" l="1"/>
  <c r="DR36" i="1"/>
  <c r="DR35" i="1"/>
  <c r="I17" i="1" s="1"/>
  <c r="DR31" i="1"/>
  <c r="DR30" i="1"/>
  <c r="DR29" i="1"/>
  <c r="DR25" i="1"/>
  <c r="DR24" i="1"/>
  <c r="DR23" i="1"/>
  <c r="I15" i="1" s="1"/>
  <c r="DR19" i="1"/>
  <c r="DR18" i="1"/>
  <c r="DR17" i="1"/>
  <c r="DR13" i="1"/>
  <c r="DR12" i="1"/>
  <c r="DR11" i="1"/>
  <c r="DR7" i="1"/>
  <c r="DR6" i="1"/>
  <c r="DR5" i="1"/>
  <c r="J17" i="1"/>
  <c r="J16" i="1"/>
  <c r="I16" i="1"/>
  <c r="J15" i="1"/>
  <c r="J14" i="1"/>
  <c r="I14" i="1"/>
  <c r="P13" i="1"/>
  <c r="Q13" i="1" s="1"/>
  <c r="J13" i="1"/>
  <c r="I13" i="1"/>
  <c r="P12" i="1"/>
  <c r="J12" i="1"/>
  <c r="I12" i="1"/>
  <c r="CW7" i="1"/>
  <c r="CW6" i="1"/>
  <c r="CW5" i="1"/>
  <c r="CW4" i="1"/>
  <c r="CW3" i="1"/>
  <c r="CW2" i="1"/>
  <c r="P14" i="1" l="1"/>
  <c r="Q12" i="1"/>
  <c r="CW10" i="1"/>
  <c r="CX4" i="1" s="1"/>
  <c r="CY4" i="1" s="1"/>
  <c r="AZ2" i="1"/>
  <c r="BA2" i="1"/>
  <c r="Q14" i="1" l="1"/>
  <c r="Z2" i="1"/>
  <c r="CX6" i="1"/>
  <c r="CY6" i="1" s="1"/>
  <c r="CZ6" i="1" s="1"/>
  <c r="DQ28" i="1" s="1"/>
  <c r="CX5" i="1"/>
  <c r="CY5" i="1" s="1"/>
  <c r="CZ5" i="1" s="1"/>
  <c r="DQ22" i="1" s="1"/>
  <c r="CX3" i="1"/>
  <c r="CY3" i="1" s="1"/>
  <c r="DA3" i="1" s="1"/>
  <c r="DQ11" i="1" s="1"/>
  <c r="CX7" i="1"/>
  <c r="CY7" i="1" s="1"/>
  <c r="CZ7" i="1" s="1"/>
  <c r="DQ34" i="1" s="1"/>
  <c r="CX2" i="1"/>
  <c r="CY2" i="1" s="1"/>
  <c r="DA2" i="1" s="1"/>
  <c r="DQ5" i="1" s="1"/>
  <c r="BB2" i="1"/>
  <c r="DB6" i="1"/>
  <c r="DQ30" i="1" s="1"/>
  <c r="DC4" i="1"/>
  <c r="DQ19" i="1" s="1"/>
  <c r="DA4" i="1"/>
  <c r="DQ17" i="1" s="1"/>
  <c r="CZ4" i="1"/>
  <c r="DQ16" i="1" s="1"/>
  <c r="DB4" i="1"/>
  <c r="DQ18" i="1" s="1"/>
  <c r="H14" i="1" l="1"/>
  <c r="DC2" i="1"/>
  <c r="DQ7" i="1" s="1"/>
  <c r="DB3" i="1"/>
  <c r="DQ12" i="1" s="1"/>
  <c r="DC6" i="1"/>
  <c r="DQ31" i="1" s="1"/>
  <c r="DC3" i="1"/>
  <c r="DQ13" i="1" s="1"/>
  <c r="DA6" i="1"/>
  <c r="DQ29" i="1" s="1"/>
  <c r="DB5" i="1"/>
  <c r="DQ24" i="1" s="1"/>
  <c r="DB7" i="1"/>
  <c r="DQ36" i="1" s="1"/>
  <c r="DC5" i="1"/>
  <c r="DQ25" i="1" s="1"/>
  <c r="DB2" i="1"/>
  <c r="DQ6" i="1" s="1"/>
  <c r="DC7" i="1"/>
  <c r="DQ37" i="1" s="1"/>
  <c r="DA5" i="1"/>
  <c r="DQ23" i="1" s="1"/>
  <c r="CZ2" i="1"/>
  <c r="DQ4" i="1" s="1"/>
  <c r="DA7" i="1"/>
  <c r="DQ35" i="1" s="1"/>
  <c r="CZ3" i="1"/>
  <c r="DQ10" i="1" s="1"/>
  <c r="H12" i="1" l="1"/>
  <c r="H16" i="1"/>
  <c r="H17" i="1"/>
  <c r="H15" i="1"/>
  <c r="H13" i="1"/>
  <c r="AY2" i="1" l="1"/>
  <c r="FF6" i="1" s="1"/>
  <c r="AX2" i="1"/>
  <c r="Y2" i="1" s="1"/>
  <c r="AA2" i="1" s="1"/>
  <c r="AB2" i="1" s="1"/>
  <c r="AA6" i="1" s="1"/>
  <c r="FF5" i="1"/>
  <c r="FF3" i="1" l="1"/>
  <c r="FF4" i="1"/>
  <c r="AA10" i="1"/>
  <c r="AA8" i="1"/>
  <c r="AA9" i="1"/>
  <c r="AA7" i="1"/>
  <c r="F7" i="1" l="1"/>
  <c r="BC2" i="1"/>
  <c r="BD2" i="1" s="1"/>
</calcChain>
</file>

<file path=xl/sharedStrings.xml><?xml version="1.0" encoding="utf-8"?>
<sst xmlns="http://schemas.openxmlformats.org/spreadsheetml/2006/main" count="136" uniqueCount="94">
  <si>
    <t>Total Internal</t>
  </si>
  <si>
    <t>Total External</t>
  </si>
  <si>
    <t>Total UMS</t>
  </si>
  <si>
    <t>UMS Percent</t>
  </si>
  <si>
    <t>UMS</t>
  </si>
  <si>
    <t>Group 1 Mandatory Units Done</t>
  </si>
  <si>
    <t>Hurdle</t>
  </si>
  <si>
    <t>Met</t>
  </si>
  <si>
    <t>Internal Raw Grade</t>
  </si>
  <si>
    <t>Internal Finial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</si>
  <si>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</si>
  <si>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</si>
  <si>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</si>
  <si>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</si>
  <si>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</si>
  <si>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</si>
  <si>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</si>
  <si>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</si>
  <si>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</si>
  <si>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</si>
  <si>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</si>
  <si>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</si>
  <si>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</si>
  <si>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Raw Grade</t>
  </si>
  <si>
    <t>Grade</t>
  </si>
  <si>
    <t/>
  </si>
  <si>
    <t>External Grade</t>
  </si>
  <si>
    <t xml:space="preserve">000112    </t>
  </si>
  <si>
    <t xml:space="preserve">000111    </t>
  </si>
  <si>
    <t>A/507/4987 - Using a Digital Audio Workstation</t>
  </si>
  <si>
    <t>A/507/4987 - Using a Digital Audio Workstation_</t>
  </si>
  <si>
    <t>F/507/4988 - Creating Music</t>
  </si>
  <si>
    <t>A/507/4987 - Using a Digital Audio Workstation_Not Applicable</t>
  </si>
  <si>
    <t>A/507/4990 - Multi-Track Audio Recording, Mixing and Mastering</t>
  </si>
  <si>
    <t>A/507/4987 - Using a Digital Audio Workstation_Not Yet Achieved</t>
  </si>
  <si>
    <t>Grading Calculator</t>
  </si>
  <si>
    <t>Achieved</t>
  </si>
  <si>
    <t>J/507/4992 - Sound Creation</t>
  </si>
  <si>
    <t>A/507/4987 - Using a Digital Audio Workstation_Pass</t>
  </si>
  <si>
    <t>R/507/4994 - Live Sound Performance Technology</t>
  </si>
  <si>
    <t>A/507/4987 - Using a Digital Audio Workstation_Merit</t>
  </si>
  <si>
    <t>Estimated Final Grade</t>
  </si>
  <si>
    <t>Y/507/4995 - Digital Music Business</t>
  </si>
  <si>
    <t>A/507/4987 - Using a Digital Audio Workstation_Distinction</t>
  </si>
  <si>
    <t>F/507/4988 - Creating Music_</t>
  </si>
  <si>
    <t>F/507/4988 - Creating Music_Not Applicable</t>
  </si>
  <si>
    <t>Distinction *</t>
  </si>
  <si>
    <t>F/507/4988 - Creating Music_Not Yet Achieved</t>
  </si>
  <si>
    <t>Group</t>
  </si>
  <si>
    <t>Order</t>
  </si>
  <si>
    <t>Select Grade</t>
  </si>
  <si>
    <t>Mandatory Score</t>
  </si>
  <si>
    <t>Code</t>
  </si>
  <si>
    <t>Select Result</t>
  </si>
  <si>
    <t>Done</t>
  </si>
  <si>
    <t>F/507/4988 - Creating Music_Pass</t>
  </si>
  <si>
    <t>F/507/4988 - Creating Music_Merit</t>
  </si>
  <si>
    <t>F/507/4988 - Creating Music_Distinction</t>
  </si>
  <si>
    <t>A/507/4990 - Multi-Track Audio Recording, Mixing and Mastering_</t>
  </si>
  <si>
    <t>A/507/4990 - Multi-Track Audio Recording, Mixing and Mastering_Not Applicable</t>
  </si>
  <si>
    <t>A/507/4990 - Multi-Track Audio Recording, Mixing and Mastering_Not Yet Achieved</t>
  </si>
  <si>
    <t>A/507/4990 - Multi-Track Audio Recording, Mixing and Mastering_Pass</t>
  </si>
  <si>
    <t>A/507/4990 - Multi-Track Audio Recording, Mixing and Mastering_Merit</t>
  </si>
  <si>
    <t>A/507/4990 - Multi-Track Audio Recording, Mixing and Mastering_Distinction</t>
  </si>
  <si>
    <t>J/507/4992 - Sound Creation_</t>
  </si>
  <si>
    <t>J/507/4992 - Sound Creation_Not Applicable</t>
  </si>
  <si>
    <t>J/507/4992 - Sound Creation_Not Yet Achieved</t>
  </si>
  <si>
    <t>J/507/4992 - Sound Creation_Pass</t>
  </si>
  <si>
    <t>J/507/4992 - Sound Creation_Merit</t>
  </si>
  <si>
    <t>J/507/4992 - Sound Creation_Distinction</t>
  </si>
  <si>
    <t>R/507/4994 - Live Sound Performance Technology_</t>
  </si>
  <si>
    <t>R/507/4994 - Live Sound Performance Technology_Not Applicable</t>
  </si>
  <si>
    <t>R/507/4994 - Live Sound Performance Technology_Not Yet Achieved</t>
  </si>
  <si>
    <t>R/507/4994 - Live Sound Performance Technology_Pass</t>
  </si>
  <si>
    <t>R/507/4994 - Live Sound Performance Technology_Merit</t>
  </si>
  <si>
    <t>R/507/4994 - Live Sound Performance Technology_Distinction</t>
  </si>
  <si>
    <t>Y/507/4995 - Digital Music Business_</t>
  </si>
  <si>
    <t>Y/507/4995 - Digital Music Business_Not Applicable</t>
  </si>
  <si>
    <t>Y/507/4995 - Digital Music Business_Not Yet Achieved</t>
  </si>
  <si>
    <t>Y/507/4995 - Digital Music Business_Pass</t>
  </si>
  <si>
    <t>Y/507/4995 - Digital Music Business_Merit</t>
  </si>
  <si>
    <t>Y/507/4995 - Digital Music Business_Distinction</t>
  </si>
  <si>
    <t>Not Sat</t>
  </si>
  <si>
    <t>Internal Units</t>
  </si>
  <si>
    <t>External Assessment</t>
  </si>
  <si>
    <t>601/6779/8 – NCFE Level 3 Applied General Certificate in Music Technology</t>
  </si>
  <si>
    <t>F/507/4988 - Creating music</t>
  </si>
  <si>
    <t>A/507/4990 - Multi-track audio recording, mixing and mastering</t>
  </si>
  <si>
    <t>J/507/4992 - Sound creation</t>
  </si>
  <si>
    <t>R/507/4994 - Live sound performance technology</t>
  </si>
  <si>
    <t>Y/507/4995 - Digital music business</t>
  </si>
  <si>
    <t xml:space="preserve">Level 3 Music Tech - Written                           </t>
  </si>
  <si>
    <t xml:space="preserve">Level 3 Music Tech - Practical                           </t>
  </si>
  <si>
    <r>
      <t xml:space="preserve">Learners must achieve at least a Pass in </t>
    </r>
    <r>
      <rPr>
        <b/>
        <sz val="9"/>
        <rFont val="Calibri"/>
        <family val="2"/>
      </rPr>
      <t>all</t>
    </r>
    <r>
      <rPr>
        <sz val="9"/>
        <rFont val="Calibri"/>
        <family val="2"/>
      </rPr>
      <t xml:space="preserve"> internal units </t>
    </r>
    <r>
      <rPr>
        <b/>
        <sz val="9"/>
        <rFont val="Calibri"/>
        <family val="2"/>
      </rPr>
      <t>and</t>
    </r>
    <r>
      <rPr>
        <sz val="9"/>
        <rFont val="Calibri"/>
        <family val="2"/>
      </rPr>
      <t xml:space="preserve"> at least a Pass from </t>
    </r>
    <r>
      <rPr>
        <b/>
        <sz val="9"/>
        <rFont val="Calibri"/>
        <family val="2"/>
      </rPr>
      <t xml:space="preserve">across </t>
    </r>
    <r>
      <rPr>
        <sz val="9"/>
        <rFont val="Calibri"/>
        <family val="2"/>
      </rPr>
      <t xml:space="preserve">the external assessments for an overall grade to be awarded.  
All internal units and external assessments are mandatory.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</si>
</sst>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sz val="9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1" fillId="3" borderId="2" xfId="0" applyNumberFormat="1" applyFont="1" applyFill="1" applyBorder="1" applyProtection="1">
      <protection locked="0"/>
    </xf>
    <xf numFmtId="0" fontId="1" fillId="3" borderId="3" xfId="0" applyNumberFormat="1" applyFont="1" applyFill="1" applyBorder="1" applyProtection="1">
      <protection locked="0"/>
    </xf>
    <xf numFmtId="0" fontId="1" fillId="0" borderId="0" xfId="0" applyNumberFormat="1" applyFont="1" applyProtection="1"/>
    <xf numFmtId="0" fontId="2" fillId="0" borderId="0" xfId="0" applyNumberFormat="1" applyFont="1" applyProtection="1"/>
    <xf numFmtId="0" fontId="2" fillId="2" borderId="1" xfId="0" applyNumberFormat="1" applyFont="1" applyFill="1" applyBorder="1" applyProtection="1"/>
    <xf numFmtId="0" fontId="1" fillId="0" borderId="0" xfId="0" applyNumberFormat="1" applyFont="1" applyAlignment="1" applyProtection="1">
      <alignment wrapText="1"/>
    </xf>
    <xf numFmtId="0" fontId="1" fillId="0" borderId="0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1215259</xdr:colOff>
      <xdr:row>3</xdr:row>
      <xdr:rowOff>114300</xdr:rowOff>
    </xdr:to>
    <xdr:pic>
      <xdr:nvPicPr>
        <xdr:cNvPr id="2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95250"/>
          <a:ext cx="1215259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7"/>
  <sheetViews>
    <sheetView tabSelected="1" topLeftCell="E1" zoomScaleNormal="100" workbookViewId="0">
      <selection activeCell="E3" sqref="E3"/>
    </sheetView>
  </sheetViews>
  <sheetFormatPr defaultRowHeight="12"/>
  <cols>
    <col min="1" max="1" width="9.140625" style="3" hidden="1" customWidth="1"/>
    <col min="2" max="2" width="11.28515625" style="3" hidden="1" customWidth="1"/>
    <col min="3" max="4" width="9.140625" style="3" hidden="1" customWidth="1"/>
    <col min="5" max="5" width="60.7109375" style="3" customWidth="1"/>
    <col min="6" max="6" width="13.7109375" style="3" customWidth="1"/>
    <col min="7" max="7" width="9.28515625" style="3" hidden="1" customWidth="1"/>
    <col min="8" max="11" width="9.140625" style="3" hidden="1" customWidth="1"/>
    <col min="12" max="13" width="9.140625" style="3" customWidth="1"/>
    <col min="14" max="14" width="31.85546875" style="3" bestFit="1" customWidth="1"/>
    <col min="15" max="15" width="13.7109375" style="3" customWidth="1"/>
    <col min="16" max="167" width="9.140625" style="3" hidden="1" customWidth="1"/>
    <col min="168" max="169" width="9.140625" style="3" customWidth="1"/>
    <col min="170" max="16384" width="9.140625" style="3"/>
  </cols>
  <sheetData>
    <row r="1" spans="3:167">
      <c r="Y1" s="3" t="s">
        <v>0</v>
      </c>
      <c r="Z1" s="3" t="s">
        <v>1</v>
      </c>
      <c r="AA1" s="3" t="s">
        <v>2</v>
      </c>
      <c r="AB1" s="3" t="s">
        <v>3</v>
      </c>
      <c r="AX1" s="3" t="s">
        <v>2</v>
      </c>
      <c r="AY1" s="3" t="s">
        <v>4</v>
      </c>
      <c r="AZ1" s="3" t="s">
        <v>5</v>
      </c>
      <c r="BA1" s="3" t="s">
        <v>6</v>
      </c>
      <c r="BB1" s="3" t="s">
        <v>7</v>
      </c>
      <c r="BC1" s="3" t="s">
        <v>8</v>
      </c>
      <c r="BD1" s="3" t="s">
        <v>9</v>
      </c>
      <c r="CV1" s="3" t="s">
        <v>10</v>
      </c>
      <c r="CW1" s="3" t="s">
        <v>11</v>
      </c>
      <c r="CX1" s="3" t="s">
        <v>12</v>
      </c>
      <c r="CY1" s="3" t="s">
        <v>13</v>
      </c>
      <c r="CZ1" s="3" t="s">
        <v>14</v>
      </c>
      <c r="DA1" s="3" t="s">
        <v>15</v>
      </c>
      <c r="DB1" s="3" t="s">
        <v>16</v>
      </c>
      <c r="DC1" s="3" t="s">
        <v>17</v>
      </c>
      <c r="DP1" s="3" t="s">
        <v>18</v>
      </c>
      <c r="DQ1" s="3" t="s">
        <v>4</v>
      </c>
      <c r="DR1" s="3" t="s">
        <v>19</v>
      </c>
      <c r="DS1" s="3" t="s">
        <v>6</v>
      </c>
      <c r="EJ1" s="3" t="s">
        <v>20</v>
      </c>
      <c r="EL1" s="3" t="s">
        <v>14</v>
      </c>
      <c r="FD1" s="3" t="s">
        <v>21</v>
      </c>
      <c r="FE1" s="3" t="s">
        <v>22</v>
      </c>
      <c r="FF1" s="3" t="s">
        <v>23</v>
      </c>
      <c r="FG1" s="3" t="s">
        <v>24</v>
      </c>
      <c r="FH1" s="3" t="s">
        <v>25</v>
      </c>
      <c r="FI1" s="3" t="s">
        <v>26</v>
      </c>
      <c r="FJ1" s="3" t="s">
        <v>27</v>
      </c>
      <c r="FK1" s="3" t="s">
        <v>28</v>
      </c>
    </row>
    <row r="2" spans="3:167">
      <c r="Y2" s="3">
        <f ca="1">IF(HasMet, TotalInternalUMS, 0)</f>
        <v>150</v>
      </c>
      <c r="Z2" s="3">
        <f>TotalExternalUMS</f>
        <v>135</v>
      </c>
      <c r="AA2" s="3">
        <f ca="1">SUM(Y2:Z2)</f>
        <v>285</v>
      </c>
      <c r="AB2" s="3">
        <f ca="1">AA2/600</f>
        <v>0.47499999999999998</v>
      </c>
      <c r="AX2" s="3">
        <f>SUM(UMSGroup)</f>
        <v>150</v>
      </c>
      <c r="AY2" s="3">
        <f>SUM(UMSGroup)/300</f>
        <v>0.5</v>
      </c>
      <c r="AZ2" s="3" t="b">
        <f ca="1">SUMIF(GroupsGroup,1,MandatoryScoreGroup) &gt;= 100</f>
        <v>1</v>
      </c>
      <c r="BA2" s="3" t="b">
        <f>IF(SUM(HurdleGroup)=0,TRUE,FALSE)</f>
        <v>1</v>
      </c>
      <c r="BB2" s="3" t="b">
        <f ca="1">AND(AZ2,BA2)</f>
        <v>1</v>
      </c>
      <c r="BC2" s="3" t="str">
        <f>VLOOKUP(1,RawMaxGradeCalc,2,FALSE)</f>
        <v>Pass</v>
      </c>
      <c r="BD2" s="3" t="str">
        <f ca="1">IF(HasMet,(IF(AND(COUNTIF(Selections,"Distinction")&gt;=8,COUNTIF(Selections,"Merit")=0,COUNTIF(Selections,"Pass")=0),"Distinction *",RawGrade)),"Not Yet Achieved")</f>
        <v>Pass</v>
      </c>
      <c r="CV2" s="3" t="s">
        <v>29</v>
      </c>
      <c r="CW2" s="3">
        <f t="shared" ref="CW2:CW7" si="0">IF(VLOOKUP(CV2,UnitSelections,2,FALSE) ="Not Applicable",0,60)</f>
        <v>60</v>
      </c>
      <c r="CX2" s="3">
        <f t="shared" ref="CX2:CX7" si="1">SUM(CW2/TotalGHL)</f>
        <v>0.16666666666666666</v>
      </c>
      <c r="CY2" s="3">
        <f t="shared" ref="CY2:CY7" si="2">SUM(CX2*300)</f>
        <v>50</v>
      </c>
      <c r="CZ2" s="3">
        <f t="shared" ref="CZ2:CZ7" si="3">SUM(0 % *CY2)</f>
        <v>0</v>
      </c>
      <c r="DA2" s="3">
        <f t="shared" ref="DA2:DA7" si="4">SUM(50 % *CY2)</f>
        <v>25</v>
      </c>
      <c r="DB2" s="3">
        <f t="shared" ref="DB2:DB7" si="5">SUM(60 % *CY2)</f>
        <v>30</v>
      </c>
      <c r="DC2" s="3">
        <f t="shared" ref="DC2:DC7" si="6">SUM(72.5 % *CY2)</f>
        <v>36.25</v>
      </c>
      <c r="DP2" s="3" t="s">
        <v>30</v>
      </c>
      <c r="DQ2" s="3">
        <v>0</v>
      </c>
      <c r="DR2" s="3">
        <v>0</v>
      </c>
      <c r="DS2" s="3">
        <v>0</v>
      </c>
      <c r="EJ2" s="3" t="s">
        <v>14</v>
      </c>
      <c r="EL2" s="3" t="s">
        <v>15</v>
      </c>
      <c r="FI2" s="3" t="s">
        <v>82</v>
      </c>
      <c r="FJ2" s="3">
        <v>0</v>
      </c>
      <c r="FK2" s="3">
        <v>0</v>
      </c>
    </row>
    <row r="3" spans="3:167">
      <c r="CV3" s="3" t="s">
        <v>31</v>
      </c>
      <c r="CW3" s="3">
        <f t="shared" si="0"/>
        <v>60</v>
      </c>
      <c r="CX3" s="3">
        <f t="shared" si="1"/>
        <v>0.16666666666666666</v>
      </c>
      <c r="CY3" s="3">
        <f t="shared" si="2"/>
        <v>50</v>
      </c>
      <c r="CZ3" s="3">
        <f t="shared" si="3"/>
        <v>0</v>
      </c>
      <c r="DA3" s="3">
        <f t="shared" si="4"/>
        <v>25</v>
      </c>
      <c r="DB3" s="3">
        <f t="shared" si="5"/>
        <v>30</v>
      </c>
      <c r="DC3" s="3">
        <f t="shared" si="6"/>
        <v>36.25</v>
      </c>
      <c r="DP3" s="3" t="s">
        <v>32</v>
      </c>
      <c r="DQ3" s="3">
        <v>0</v>
      </c>
      <c r="DR3" s="3">
        <v>0</v>
      </c>
      <c r="DS3" s="3">
        <v>0</v>
      </c>
      <c r="EJ3" s="3" t="s">
        <v>15</v>
      </c>
      <c r="EL3" s="3" t="s">
        <v>16</v>
      </c>
      <c r="FD3" s="3">
        <v>0</v>
      </c>
      <c r="FE3" s="3">
        <v>45</v>
      </c>
      <c r="FF3" s="3">
        <f>IF(AND(RawUmsPercent*100&gt;=FD3,RawUmsPercent*100&lt;FE3),1, 0)</f>
        <v>0</v>
      </c>
      <c r="FG3" s="3" t="s">
        <v>14</v>
      </c>
      <c r="FI3" s="3" t="s">
        <v>14</v>
      </c>
      <c r="FJ3" s="3">
        <f>((0 / 100) * 150)</f>
        <v>0</v>
      </c>
      <c r="FK3" s="3">
        <f>((0 / 100) * 150)</f>
        <v>0</v>
      </c>
    </row>
    <row r="4" spans="3:167">
      <c r="CV4" s="3" t="s">
        <v>33</v>
      </c>
      <c r="CW4" s="3">
        <f t="shared" si="0"/>
        <v>60</v>
      </c>
      <c r="CX4" s="3">
        <f t="shared" si="1"/>
        <v>0.16666666666666666</v>
      </c>
      <c r="CY4" s="3">
        <f t="shared" si="2"/>
        <v>50</v>
      </c>
      <c r="CZ4" s="3">
        <f t="shared" si="3"/>
        <v>0</v>
      </c>
      <c r="DA4" s="3">
        <f t="shared" si="4"/>
        <v>25</v>
      </c>
      <c r="DB4" s="3">
        <f t="shared" si="5"/>
        <v>30</v>
      </c>
      <c r="DC4" s="3">
        <f t="shared" si="6"/>
        <v>36.25</v>
      </c>
      <c r="DP4" s="3" t="s">
        <v>34</v>
      </c>
      <c r="DQ4" s="3">
        <f>VLOOKUP("A/507/4987 - Using a Digital Audio Workstation",RawScores,5,FALSE)</f>
        <v>0</v>
      </c>
      <c r="DR4" s="3">
        <v>0</v>
      </c>
      <c r="DS4" s="3">
        <v>1</v>
      </c>
      <c r="EJ4" s="3" t="s">
        <v>16</v>
      </c>
      <c r="EL4" s="3" t="s">
        <v>17</v>
      </c>
      <c r="FD4" s="3">
        <v>45</v>
      </c>
      <c r="FE4" s="3">
        <v>55</v>
      </c>
      <c r="FF4" s="3">
        <f>IF(AND(RawUmsPercent*100&gt;=FD4,RawUmsPercent*100&lt;FE4),1, 0)</f>
        <v>1</v>
      </c>
      <c r="FG4" s="3" t="s">
        <v>15</v>
      </c>
      <c r="FI4" s="3" t="s">
        <v>15</v>
      </c>
      <c r="FJ4" s="3">
        <f>((45 / 100) * 150)</f>
        <v>67.5</v>
      </c>
      <c r="FK4" s="3">
        <f>((45 / 100) * 150)</f>
        <v>67.5</v>
      </c>
    </row>
    <row r="5" spans="3:167">
      <c r="E5" s="4" t="s">
        <v>35</v>
      </c>
      <c r="Y5" s="3" t="s">
        <v>21</v>
      </c>
      <c r="Z5" s="3" t="s">
        <v>22</v>
      </c>
      <c r="AA5" s="3" t="s">
        <v>36</v>
      </c>
      <c r="AB5" s="3" t="s">
        <v>24</v>
      </c>
      <c r="CV5" s="3" t="s">
        <v>37</v>
      </c>
      <c r="CW5" s="3">
        <f t="shared" si="0"/>
        <v>60</v>
      </c>
      <c r="CX5" s="3">
        <f t="shared" si="1"/>
        <v>0.16666666666666666</v>
      </c>
      <c r="CY5" s="3">
        <f t="shared" si="2"/>
        <v>50</v>
      </c>
      <c r="CZ5" s="3">
        <f t="shared" si="3"/>
        <v>0</v>
      </c>
      <c r="DA5" s="3">
        <f t="shared" si="4"/>
        <v>25</v>
      </c>
      <c r="DB5" s="3">
        <f t="shared" si="5"/>
        <v>30</v>
      </c>
      <c r="DC5" s="3">
        <f t="shared" si="6"/>
        <v>36.25</v>
      </c>
      <c r="DP5" s="3" t="s">
        <v>38</v>
      </c>
      <c r="DQ5" s="3">
        <f>VLOOKUP("A/507/4987 - Using a Digital Audio Workstation",RawScores,6,FALSE)</f>
        <v>25</v>
      </c>
      <c r="DR5" s="3">
        <f>100/6</f>
        <v>16.666666666666668</v>
      </c>
      <c r="DS5" s="3">
        <v>0</v>
      </c>
      <c r="EJ5" s="3" t="s">
        <v>17</v>
      </c>
      <c r="FD5" s="3">
        <v>55</v>
      </c>
      <c r="FE5" s="3">
        <v>65</v>
      </c>
      <c r="FF5" s="3">
        <f>IF(AND(RawUmsPercent*100&gt;=FD5,RawUmsPercent*100&lt;FE5),1, 0)</f>
        <v>0</v>
      </c>
      <c r="FG5" s="3" t="s">
        <v>16</v>
      </c>
      <c r="FI5" s="3" t="s">
        <v>16</v>
      </c>
      <c r="FJ5" s="3">
        <f>((55 / 100) * 150)</f>
        <v>82.5</v>
      </c>
      <c r="FK5" s="3">
        <f>((55 / 100) * 150)</f>
        <v>82.5</v>
      </c>
    </row>
    <row r="6" spans="3:167">
      <c r="E6" s="3" t="s">
        <v>85</v>
      </c>
      <c r="Y6" s="3">
        <v>0</v>
      </c>
      <c r="Z6" s="3">
        <v>45</v>
      </c>
      <c r="AA6" s="3">
        <f ca="1">IF(AND(TotalUMS*100&gt;=Y6,TotalUMS*100&lt;Z6),1, 0)</f>
        <v>0</v>
      </c>
      <c r="AB6" s="3" t="s">
        <v>14</v>
      </c>
      <c r="CV6" s="3" t="s">
        <v>39</v>
      </c>
      <c r="CW6" s="3">
        <f t="shared" si="0"/>
        <v>60</v>
      </c>
      <c r="CX6" s="3">
        <f t="shared" si="1"/>
        <v>0.16666666666666666</v>
      </c>
      <c r="CY6" s="3">
        <f t="shared" si="2"/>
        <v>50</v>
      </c>
      <c r="CZ6" s="3">
        <f t="shared" si="3"/>
        <v>0</v>
      </c>
      <c r="DA6" s="3">
        <f t="shared" si="4"/>
        <v>25</v>
      </c>
      <c r="DB6" s="3">
        <f t="shared" si="5"/>
        <v>30</v>
      </c>
      <c r="DC6" s="3">
        <f t="shared" si="6"/>
        <v>36.25</v>
      </c>
      <c r="DP6" s="3" t="s">
        <v>40</v>
      </c>
      <c r="DQ6" s="3">
        <f>VLOOKUP("A/507/4987 - Using a Digital Audio Workstation",RawScores,7,FALSE)</f>
        <v>30</v>
      </c>
      <c r="DR6" s="3">
        <f>100/6</f>
        <v>16.666666666666668</v>
      </c>
      <c r="DS6" s="3">
        <v>0</v>
      </c>
      <c r="FD6" s="3">
        <v>65</v>
      </c>
      <c r="FE6" s="3">
        <v>100.01</v>
      </c>
      <c r="FF6" s="3">
        <f>IF(AND(RawUmsPercent*100&gt;=FD6,RawUmsPercent*100&lt;FE6),1, 0)</f>
        <v>0</v>
      </c>
      <c r="FG6" s="3" t="s">
        <v>17</v>
      </c>
      <c r="FI6" s="3" t="s">
        <v>17</v>
      </c>
      <c r="FJ6" s="3">
        <f>((65 / 100) * 150)</f>
        <v>97.5</v>
      </c>
      <c r="FK6" s="3">
        <f>((65 / 100) * 150)</f>
        <v>97.5</v>
      </c>
    </row>
    <row r="7" spans="3:167">
      <c r="E7" s="3" t="s">
        <v>41</v>
      </c>
      <c r="F7" s="5" t="str">
        <f ca="1">IF(AND(K12:K17,R12:R13),"Distinction *",IF(AND(ExternalMet,HasMet), VLOOKUP(1,TotalGradeCalc,2,FALSE),"Not Yet Achieved"))</f>
        <v>Pass</v>
      </c>
      <c r="Y7" s="3">
        <v>45</v>
      </c>
      <c r="Z7" s="3">
        <v>55</v>
      </c>
      <c r="AA7" s="3">
        <f ca="1">IF(AND(TotalUMS*100&gt;=Y7,TotalUMS*100&lt;Z7),1, 0)</f>
        <v>1</v>
      </c>
      <c r="AB7" s="3" t="s">
        <v>15</v>
      </c>
      <c r="CV7" s="3" t="s">
        <v>42</v>
      </c>
      <c r="CW7" s="3">
        <f t="shared" si="0"/>
        <v>60</v>
      </c>
      <c r="CX7" s="3">
        <f t="shared" si="1"/>
        <v>0.16666666666666666</v>
      </c>
      <c r="CY7" s="3">
        <f t="shared" si="2"/>
        <v>50</v>
      </c>
      <c r="CZ7" s="3">
        <f t="shared" si="3"/>
        <v>0</v>
      </c>
      <c r="DA7" s="3">
        <f t="shared" si="4"/>
        <v>25</v>
      </c>
      <c r="DB7" s="3">
        <f t="shared" si="5"/>
        <v>30</v>
      </c>
      <c r="DC7" s="3">
        <f t="shared" si="6"/>
        <v>36.25</v>
      </c>
      <c r="DP7" s="3" t="s">
        <v>43</v>
      </c>
      <c r="DQ7" s="3">
        <f>VLOOKUP("A/507/4987 - Using a Digital Audio Workstation",RawScores,8,FALSE)</f>
        <v>36.25</v>
      </c>
      <c r="DR7" s="3">
        <f>100/6</f>
        <v>16.666666666666668</v>
      </c>
      <c r="DS7" s="3">
        <v>0</v>
      </c>
    </row>
    <row r="8" spans="3:167" ht="48">
      <c r="E8" s="6" t="s">
        <v>93</v>
      </c>
      <c r="Y8" s="3">
        <v>55</v>
      </c>
      <c r="Z8" s="3">
        <v>65</v>
      </c>
      <c r="AA8" s="3">
        <f ca="1">IF(AND(TotalUMS*100&gt;=Y8,TotalUMS*100&lt;Z8),1, 0)</f>
        <v>0</v>
      </c>
      <c r="AB8" s="3" t="s">
        <v>16</v>
      </c>
      <c r="DP8" s="3" t="s">
        <v>44</v>
      </c>
      <c r="DQ8" s="3">
        <v>0</v>
      </c>
      <c r="DR8" s="3">
        <v>0</v>
      </c>
      <c r="DS8" s="3">
        <v>0</v>
      </c>
    </row>
    <row r="9" spans="3:167">
      <c r="Y9" s="3">
        <v>65</v>
      </c>
      <c r="Z9" s="3">
        <v>80</v>
      </c>
      <c r="AA9" s="3">
        <f ca="1">IF(AND(TotalUMS*100&gt;=Y9,TotalUMS*100&lt;Z9),1, 0)</f>
        <v>0</v>
      </c>
      <c r="AB9" s="3" t="s">
        <v>17</v>
      </c>
      <c r="DP9" s="3" t="s">
        <v>45</v>
      </c>
      <c r="DQ9" s="3">
        <v>0</v>
      </c>
      <c r="DR9" s="3">
        <v>0</v>
      </c>
      <c r="DS9" s="3">
        <v>0</v>
      </c>
    </row>
    <row r="10" spans="3:167">
      <c r="Y10" s="3">
        <v>80</v>
      </c>
      <c r="Z10" s="3">
        <v>100</v>
      </c>
      <c r="AA10" s="3">
        <f ca="1">IF(AND(TotalUMS*100&gt;=Y10,TotalUMS*100&lt;Z10),1, 0)</f>
        <v>0</v>
      </c>
      <c r="AB10" s="3" t="s">
        <v>46</v>
      </c>
      <c r="CW10" s="3">
        <f>SUM(CW2:CW9)</f>
        <v>360</v>
      </c>
      <c r="DP10" s="3" t="s">
        <v>47</v>
      </c>
      <c r="DQ10" s="3">
        <f>VLOOKUP("F/507/4988 - Creating Music",RawScores,5,FALSE)</f>
        <v>0</v>
      </c>
      <c r="DR10" s="3">
        <v>0</v>
      </c>
      <c r="DS10" s="3">
        <v>1</v>
      </c>
    </row>
    <row r="11" spans="3:167">
      <c r="C11" s="3" t="s">
        <v>48</v>
      </c>
      <c r="D11" s="3" t="s">
        <v>49</v>
      </c>
      <c r="E11" s="3" t="s">
        <v>83</v>
      </c>
      <c r="F11" s="3" t="s">
        <v>50</v>
      </c>
      <c r="H11" s="3" t="s">
        <v>4</v>
      </c>
      <c r="I11" s="3" t="s">
        <v>51</v>
      </c>
      <c r="J11" s="3" t="s">
        <v>6</v>
      </c>
      <c r="K11" s="3" t="s">
        <v>17</v>
      </c>
      <c r="M11" s="3" t="s">
        <v>52</v>
      </c>
      <c r="N11" s="3" t="s">
        <v>84</v>
      </c>
      <c r="O11" s="3" t="s">
        <v>53</v>
      </c>
      <c r="P11" s="3" t="s">
        <v>4</v>
      </c>
      <c r="Q11" s="3" t="s">
        <v>54</v>
      </c>
      <c r="R11" s="3" t="s">
        <v>17</v>
      </c>
      <c r="DP11" s="3" t="s">
        <v>55</v>
      </c>
      <c r="DQ11" s="3">
        <f>VLOOKUP("F/507/4988 - Creating Music",RawScores,6,FALSE)</f>
        <v>25</v>
      </c>
      <c r="DR11" s="3">
        <f>100/6</f>
        <v>16.666666666666668</v>
      </c>
      <c r="DS11" s="3">
        <v>0</v>
      </c>
    </row>
    <row r="12" spans="3:167">
      <c r="C12" s="3">
        <v>1</v>
      </c>
      <c r="D12" s="3">
        <v>1</v>
      </c>
      <c r="E12" s="3" t="s">
        <v>29</v>
      </c>
      <c r="F12" s="1" t="s">
        <v>15</v>
      </c>
      <c r="H12" s="3">
        <f t="shared" ref="H12:H17" si="7">VLOOKUP(E12 &amp; "_" &amp; F12, InternalAssessment, 2,FALSE)</f>
        <v>25</v>
      </c>
      <c r="I12" s="3">
        <f t="shared" ref="I12:I17" si="8">VLOOKUP(E12 &amp; "_" &amp; F12, InternalAssessment, 3,FALSE)</f>
        <v>16.666666666666668</v>
      </c>
      <c r="J12" s="3">
        <f t="shared" ref="J12:J17" si="9">VLOOKUP(E12 &amp; "_" &amp; F12, InternalAssessment, 4,FALSE)</f>
        <v>0</v>
      </c>
      <c r="K12" s="3" t="b">
        <f>F12=$K$11</f>
        <v>0</v>
      </c>
      <c r="M12" s="3" t="s">
        <v>27</v>
      </c>
      <c r="N12" s="3" t="s">
        <v>91</v>
      </c>
      <c r="O12" s="1" t="s">
        <v>15</v>
      </c>
      <c r="P12" s="3">
        <f>VLOOKUP(O12, ExternalUMS, MATCH(M12, ExternalHeadder, 0),FALSE)</f>
        <v>67.5</v>
      </c>
      <c r="Q12" s="3" t="b">
        <f>IF(P12 &gt; 0, TRUE, FALSE)</f>
        <v>1</v>
      </c>
      <c r="R12" s="3" t="b">
        <f>O12=$R$11</f>
        <v>0</v>
      </c>
      <c r="DP12" s="3" t="s">
        <v>56</v>
      </c>
      <c r="DQ12" s="3">
        <f>VLOOKUP("F/507/4988 - Creating Music",RawScores,7,FALSE)</f>
        <v>30</v>
      </c>
      <c r="DR12" s="3">
        <f>100/6</f>
        <v>16.666666666666668</v>
      </c>
      <c r="DS12" s="3">
        <v>0</v>
      </c>
    </row>
    <row r="13" spans="3:167">
      <c r="C13" s="3">
        <v>1</v>
      </c>
      <c r="D13" s="3">
        <v>2</v>
      </c>
      <c r="E13" s="3" t="s">
        <v>86</v>
      </c>
      <c r="F13" s="1" t="s">
        <v>15</v>
      </c>
      <c r="H13" s="3">
        <f t="shared" si="7"/>
        <v>25</v>
      </c>
      <c r="I13" s="3">
        <f t="shared" si="8"/>
        <v>16.666666666666668</v>
      </c>
      <c r="J13" s="3">
        <f t="shared" si="9"/>
        <v>0</v>
      </c>
      <c r="K13" s="3" t="b">
        <f t="shared" ref="K13:K17" si="10">F13=$K$11</f>
        <v>0</v>
      </c>
      <c r="M13" s="3" t="s">
        <v>28</v>
      </c>
      <c r="N13" s="3" t="s">
        <v>92</v>
      </c>
      <c r="O13" s="1" t="s">
        <v>15</v>
      </c>
      <c r="P13" s="3">
        <f>VLOOKUP(O13, ExternalUMS, MATCH(M13, ExternalHeadder, 0),FALSE)</f>
        <v>67.5</v>
      </c>
      <c r="Q13" s="3" t="b">
        <f>IF(P13 &gt; 0, TRUE, FALSE)</f>
        <v>1</v>
      </c>
      <c r="R13" s="3" t="b">
        <f>O13=$R$11</f>
        <v>0</v>
      </c>
      <c r="DP13" s="3" t="s">
        <v>57</v>
      </c>
      <c r="DQ13" s="3">
        <f>VLOOKUP("F/507/4988 - Creating Music",RawScores,8,FALSE)</f>
        <v>36.25</v>
      </c>
      <c r="DR13" s="3">
        <f>100/6</f>
        <v>16.666666666666668</v>
      </c>
      <c r="DS13" s="3">
        <v>0</v>
      </c>
    </row>
    <row r="14" spans="3:167">
      <c r="C14" s="3">
        <v>1</v>
      </c>
      <c r="D14" s="3">
        <v>3</v>
      </c>
      <c r="E14" s="3" t="s">
        <v>87</v>
      </c>
      <c r="F14" s="1" t="s">
        <v>15</v>
      </c>
      <c r="H14" s="3">
        <f t="shared" si="7"/>
        <v>25</v>
      </c>
      <c r="I14" s="3">
        <f t="shared" si="8"/>
        <v>16.666666666666668</v>
      </c>
      <c r="J14" s="3">
        <f t="shared" si="9"/>
        <v>0</v>
      </c>
      <c r="K14" s="3" t="b">
        <f t="shared" si="10"/>
        <v>0</v>
      </c>
      <c r="P14" s="3">
        <f>SUM(P12:P13)</f>
        <v>135</v>
      </c>
      <c r="Q14" s="3" t="b">
        <f>AND((Q12:Q13),(TotalExternalUMS/300)*100&gt;=FD4)</f>
        <v>1</v>
      </c>
      <c r="DP14" s="3" t="s">
        <v>58</v>
      </c>
      <c r="DQ14" s="3">
        <v>0</v>
      </c>
      <c r="DR14" s="3">
        <v>0</v>
      </c>
      <c r="DS14" s="3">
        <v>0</v>
      </c>
    </row>
    <row r="15" spans="3:167">
      <c r="C15" s="3">
        <v>1</v>
      </c>
      <c r="D15" s="3">
        <v>4</v>
      </c>
      <c r="E15" s="3" t="s">
        <v>88</v>
      </c>
      <c r="F15" s="1" t="s">
        <v>15</v>
      </c>
      <c r="H15" s="3">
        <f t="shared" si="7"/>
        <v>25</v>
      </c>
      <c r="I15" s="3">
        <f t="shared" si="8"/>
        <v>16.666666666666668</v>
      </c>
      <c r="J15" s="3">
        <f t="shared" si="9"/>
        <v>0</v>
      </c>
      <c r="K15" s="3" t="b">
        <f t="shared" si="10"/>
        <v>0</v>
      </c>
      <c r="DP15" s="3" t="s">
        <v>59</v>
      </c>
      <c r="DQ15" s="3">
        <v>0</v>
      </c>
      <c r="DR15" s="3">
        <v>0</v>
      </c>
      <c r="DS15" s="3">
        <v>0</v>
      </c>
    </row>
    <row r="16" spans="3:167">
      <c r="C16" s="3">
        <v>1</v>
      </c>
      <c r="D16" s="3">
        <v>5</v>
      </c>
      <c r="E16" s="3" t="s">
        <v>89</v>
      </c>
      <c r="F16" s="1" t="s">
        <v>15</v>
      </c>
      <c r="H16" s="3">
        <f t="shared" si="7"/>
        <v>25</v>
      </c>
      <c r="I16" s="3">
        <f t="shared" si="8"/>
        <v>16.666666666666668</v>
      </c>
      <c r="J16" s="3">
        <f t="shared" si="9"/>
        <v>0</v>
      </c>
      <c r="K16" s="3" t="b">
        <f t="shared" si="10"/>
        <v>0</v>
      </c>
      <c r="DP16" s="3" t="s">
        <v>60</v>
      </c>
      <c r="DQ16" s="3">
        <f>VLOOKUP("A/507/4990 - Multi-Track Audio Recording, Mixing and Mastering",RawScores,5,FALSE)</f>
        <v>0</v>
      </c>
      <c r="DR16" s="3">
        <v>0</v>
      </c>
      <c r="DS16" s="3">
        <v>1</v>
      </c>
    </row>
    <row r="17" spans="3:123">
      <c r="C17" s="3">
        <v>1</v>
      </c>
      <c r="D17" s="3">
        <v>6</v>
      </c>
      <c r="E17" s="3" t="s">
        <v>90</v>
      </c>
      <c r="F17" s="2" t="s">
        <v>15</v>
      </c>
      <c r="H17" s="3">
        <f t="shared" si="7"/>
        <v>25</v>
      </c>
      <c r="I17" s="3">
        <f t="shared" si="8"/>
        <v>16.666666666666668</v>
      </c>
      <c r="J17" s="3">
        <f t="shared" si="9"/>
        <v>0</v>
      </c>
      <c r="K17" s="3" t="b">
        <f t="shared" si="10"/>
        <v>0</v>
      </c>
      <c r="DP17" s="3" t="s">
        <v>61</v>
      </c>
      <c r="DQ17" s="3">
        <f>VLOOKUP("A/507/4990 - Multi-Track Audio Recording, Mixing and Mastering",RawScores,6,FALSE)</f>
        <v>25</v>
      </c>
      <c r="DR17" s="3">
        <f>100/6</f>
        <v>16.666666666666668</v>
      </c>
      <c r="DS17" s="3">
        <v>0</v>
      </c>
    </row>
    <row r="18" spans="3:123">
      <c r="F18" s="7"/>
      <c r="DP18" s="3" t="s">
        <v>62</v>
      </c>
      <c r="DQ18" s="3">
        <f>VLOOKUP("A/507/4990 - Multi-Track Audio Recording, Mixing and Mastering",RawScores,7,FALSE)</f>
        <v>30</v>
      </c>
      <c r="DR18" s="3">
        <f>100/6</f>
        <v>16.666666666666668</v>
      </c>
      <c r="DS18" s="3">
        <v>0</v>
      </c>
    </row>
    <row r="19" spans="3:123">
      <c r="F19" s="7"/>
      <c r="DP19" s="3" t="s">
        <v>63</v>
      </c>
      <c r="DQ19" s="3">
        <f>VLOOKUP("A/507/4990 - Multi-Track Audio Recording, Mixing and Mastering",RawScores,8,FALSE)</f>
        <v>36.25</v>
      </c>
      <c r="DR19" s="3">
        <f>100/6</f>
        <v>16.666666666666668</v>
      </c>
      <c r="DS19" s="3">
        <v>0</v>
      </c>
    </row>
    <row r="20" spans="3:123">
      <c r="DP20" s="3" t="s">
        <v>64</v>
      </c>
      <c r="DQ20" s="3">
        <v>0</v>
      </c>
      <c r="DR20" s="3">
        <v>0</v>
      </c>
      <c r="DS20" s="3">
        <v>0</v>
      </c>
    </row>
    <row r="21" spans="3:123">
      <c r="DP21" s="3" t="s">
        <v>65</v>
      </c>
      <c r="DQ21" s="3">
        <v>0</v>
      </c>
      <c r="DR21" s="3">
        <v>0</v>
      </c>
      <c r="DS21" s="3">
        <v>0</v>
      </c>
    </row>
    <row r="22" spans="3:123">
      <c r="DP22" s="3" t="s">
        <v>66</v>
      </c>
      <c r="DQ22" s="3">
        <f>VLOOKUP("J/507/4992 - Sound Creation",RawScores,5,FALSE)</f>
        <v>0</v>
      </c>
      <c r="DR22" s="3">
        <v>0</v>
      </c>
      <c r="DS22" s="3">
        <v>1</v>
      </c>
    </row>
    <row r="23" spans="3:123">
      <c r="DP23" s="3" t="s">
        <v>67</v>
      </c>
      <c r="DQ23" s="3">
        <f>VLOOKUP("J/507/4992 - Sound Creation",RawScores,6,FALSE)</f>
        <v>25</v>
      </c>
      <c r="DR23" s="3">
        <f>100/6</f>
        <v>16.666666666666668</v>
      </c>
      <c r="DS23" s="3">
        <v>0</v>
      </c>
    </row>
    <row r="24" spans="3:123">
      <c r="DP24" s="3" t="s">
        <v>68</v>
      </c>
      <c r="DQ24" s="3">
        <f>VLOOKUP("J/507/4992 - Sound Creation",RawScores,7,FALSE)</f>
        <v>30</v>
      </c>
      <c r="DR24" s="3">
        <f>100/6</f>
        <v>16.666666666666668</v>
      </c>
      <c r="DS24" s="3">
        <v>0</v>
      </c>
    </row>
    <row r="25" spans="3:123">
      <c r="DP25" s="3" t="s">
        <v>69</v>
      </c>
      <c r="DQ25" s="3">
        <f>VLOOKUP("J/507/4992 - Sound Creation",RawScores,8,FALSE)</f>
        <v>36.25</v>
      </c>
      <c r="DR25" s="3">
        <f>100/6</f>
        <v>16.666666666666668</v>
      </c>
      <c r="DS25" s="3">
        <v>0</v>
      </c>
    </row>
    <row r="26" spans="3:123">
      <c r="DP26" s="3" t="s">
        <v>70</v>
      </c>
      <c r="DQ26" s="3">
        <v>0</v>
      </c>
      <c r="DR26" s="3">
        <v>0</v>
      </c>
      <c r="DS26" s="3">
        <v>0</v>
      </c>
    </row>
    <row r="27" spans="3:123">
      <c r="DP27" s="3" t="s">
        <v>71</v>
      </c>
      <c r="DQ27" s="3">
        <v>0</v>
      </c>
      <c r="DR27" s="3">
        <v>0</v>
      </c>
      <c r="DS27" s="3">
        <v>0</v>
      </c>
    </row>
    <row r="28" spans="3:123">
      <c r="DP28" s="3" t="s">
        <v>72</v>
      </c>
      <c r="DQ28" s="3">
        <f>VLOOKUP("R/507/4994 - Live Sound Performance Technology",RawScores,5,FALSE)</f>
        <v>0</v>
      </c>
      <c r="DR28" s="3">
        <v>0</v>
      </c>
      <c r="DS28" s="3">
        <v>1</v>
      </c>
    </row>
    <row r="29" spans="3:123">
      <c r="DP29" s="3" t="s">
        <v>73</v>
      </c>
      <c r="DQ29" s="3">
        <f>VLOOKUP("R/507/4994 - Live Sound Performance Technology",RawScores,6,FALSE)</f>
        <v>25</v>
      </c>
      <c r="DR29" s="3">
        <f>100/6</f>
        <v>16.666666666666668</v>
      </c>
      <c r="DS29" s="3">
        <v>0</v>
      </c>
    </row>
    <row r="30" spans="3:123">
      <c r="DP30" s="3" t="s">
        <v>74</v>
      </c>
      <c r="DQ30" s="3">
        <f>VLOOKUP("R/507/4994 - Live Sound Performance Technology",RawScores,7,FALSE)</f>
        <v>30</v>
      </c>
      <c r="DR30" s="3">
        <f>100/6</f>
        <v>16.666666666666668</v>
      </c>
      <c r="DS30" s="3">
        <v>0</v>
      </c>
    </row>
    <row r="31" spans="3:123">
      <c r="DP31" s="3" t="s">
        <v>75</v>
      </c>
      <c r="DQ31" s="3">
        <f>VLOOKUP("R/507/4994 - Live Sound Performance Technology",RawScores,8,FALSE)</f>
        <v>36.25</v>
      </c>
      <c r="DR31" s="3">
        <f>100/6</f>
        <v>16.666666666666668</v>
      </c>
      <c r="DS31" s="3">
        <v>0</v>
      </c>
    </row>
    <row r="32" spans="3:123">
      <c r="DP32" s="3" t="s">
        <v>76</v>
      </c>
      <c r="DQ32" s="3">
        <v>0</v>
      </c>
      <c r="DR32" s="3">
        <v>0</v>
      </c>
      <c r="DS32" s="3">
        <v>0</v>
      </c>
    </row>
    <row r="33" spans="120:123">
      <c r="DP33" s="3" t="s">
        <v>77</v>
      </c>
      <c r="DQ33" s="3">
        <v>0</v>
      </c>
      <c r="DR33" s="3">
        <v>0</v>
      </c>
      <c r="DS33" s="3">
        <v>0</v>
      </c>
    </row>
    <row r="34" spans="120:123">
      <c r="DP34" s="3" t="s">
        <v>78</v>
      </c>
      <c r="DQ34" s="3">
        <f>VLOOKUP("Y/507/4995 - Digital Music Business",RawScores,5,FALSE)</f>
        <v>0</v>
      </c>
      <c r="DR34" s="3">
        <v>0</v>
      </c>
      <c r="DS34" s="3">
        <v>1</v>
      </c>
    </row>
    <row r="35" spans="120:123">
      <c r="DP35" s="3" t="s">
        <v>79</v>
      </c>
      <c r="DQ35" s="3">
        <f>VLOOKUP("Y/507/4995 - Digital Music Business",RawScores,6,FALSE)</f>
        <v>25</v>
      </c>
      <c r="DR35" s="3">
        <f>100/6</f>
        <v>16.666666666666668</v>
      </c>
      <c r="DS35" s="3">
        <v>0</v>
      </c>
    </row>
    <row r="36" spans="120:123">
      <c r="DP36" s="3" t="s">
        <v>80</v>
      </c>
      <c r="DQ36" s="3">
        <f>VLOOKUP("Y/507/4995 - Digital Music Business",RawScores,7,FALSE)</f>
        <v>30</v>
      </c>
      <c r="DR36" s="3">
        <f>100/6</f>
        <v>16.666666666666668</v>
      </c>
      <c r="DS36" s="3">
        <v>0</v>
      </c>
    </row>
    <row r="37" spans="120:123">
      <c r="DP37" s="3" t="s">
        <v>81</v>
      </c>
      <c r="DQ37" s="3">
        <f>VLOOKUP("Y/507/4995 - Digital Music Business",RawScores,8,FALSE)</f>
        <v>36.25</v>
      </c>
      <c r="DR37" s="3">
        <f>100/6</f>
        <v>16.666666666666668</v>
      </c>
      <c r="DS37" s="3">
        <v>0</v>
      </c>
    </row>
  </sheetData>
  <sheetProtection algorithmName="SHA-512" hashValue="FM+i52mR9wdjBAIyyL6gemHFLwPoiPTf+3qRd9tzPJ82vyszN4o2jvleI5NL1rgJh6nF+MrksWe9WLXQJmIJug==" saltValue="jgX7/kBzxgPlYjFy9JYzDA==" spinCount="100000" sheet="1" objects="1" scenarios="1"/>
  <dataValidations count="2">
    <dataValidation type="list" allowBlank="1" showErrorMessage="1" errorTitle="Error" error="Selection not valid" sqref="F12:F17">
      <formula1>MandatoryGrades</formula1>
    </dataValidation>
    <dataValidation type="list" allowBlank="1" showErrorMessage="1" errorTitle="Error" error="Selection not valid" sqref="O12:O13">
      <formula1>ExternalSelect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24</vt:i4>
      </vt:variant>
    </vt:vector>
  </HeadingPairs>
  <TitlesOfParts>
    <vt:vector size="25" baseType="lpstr">
      <vt:lpstr>Qualification Grade</vt:lpstr>
      <vt:lpstr>'Qualification Grade'!ExternalHeadder</vt:lpstr>
      <vt:lpstr>'Qualification Grade'!ExternalMet</vt:lpstr>
      <vt:lpstr>ExternalPass</vt:lpstr>
      <vt:lpstr>'Qualification Grade'!ExternalSelect</vt:lpstr>
      <vt:lpstr>'Qualification Grade'!ExternalUMS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Grade'!TotalExternalUMS</vt:lpstr>
      <vt:lpstr>'Qualification Grade'!TotalGHL</vt:lpstr>
      <vt:lpstr>'Qualification Grade'!TotalGradeCalc</vt:lpstr>
      <vt:lpstr>'Qualification Grade'!TotalInternalUMS</vt:lpstr>
      <vt:lpstr>'Qualification Grade'!TotalUMS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Fielding</dc:creator>
  <cp:lastModifiedBy>Michael Fielding</cp:lastModifiedBy>
  <dcterms:created xsi:type="dcterms:W3CDTF">2017-09-13T09:14:52Z</dcterms:created>
  <dcterms:modified xsi:type="dcterms:W3CDTF">2018-11-15T20:49:55Z</dcterms:modified>
</cp:coreProperties>
</file>