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naw\Downloads\"/>
    </mc:Choice>
  </mc:AlternateContent>
  <xr:revisionPtr revIDLastSave="0" documentId="8_{473CBBB5-10F5-4708-8460-613D3A95687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ualification Grade" sheetId="1" r:id="rId1"/>
  </sheets>
  <definedNames>
    <definedName name="Grades" localSheetId="0">'Qualification Grade'!$EJ$1:$EJ$5</definedName>
    <definedName name="GroupsGroup" localSheetId="0">'Qualification Grade'!$C$12:$C$43</definedName>
    <definedName name="HasMet" localSheetId="0">'Qualification Grade'!$BC$2</definedName>
    <definedName name="HurdleGroup" localSheetId="0">'Qualification Grade'!$J$12:$J$42</definedName>
    <definedName name="InternalAssessment" localSheetId="0">'Qualification Grade'!$DP$1:$DS$187</definedName>
    <definedName name="MandatoryGrades" localSheetId="0">'Qualification Grade'!$EL$1:$EL$4</definedName>
    <definedName name="MandatoryScoreGroup" localSheetId="0">'Qualification Grade'!$I$12:$I$42</definedName>
    <definedName name="RawGrade" localSheetId="0">'Qualification Grade'!$BD$2</definedName>
    <definedName name="RawMaxGradeCalc" localSheetId="0">'Qualification Grade'!$FF$1:$FG$5</definedName>
    <definedName name="RawScores" localSheetId="0">'Qualification Grade'!$CV$1:$DC$32</definedName>
    <definedName name="RawUmsPercent" localSheetId="0">'Qualification Grade'!$AY$2</definedName>
    <definedName name="Selections" localSheetId="0">'Qualification Grade'!$F$12:$F$42</definedName>
    <definedName name="TotalGHL" localSheetId="0">'Qualification Grade'!$CW$33</definedName>
    <definedName name="UMSGroup" localSheetId="0">'Qualification Grade'!$H$12:$H$42</definedName>
    <definedName name="UnitSelections" localSheetId="0">'Qualification Grade'!$E$11:$F$42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I42" i="1"/>
  <c r="J41" i="1"/>
  <c r="I41" i="1"/>
  <c r="J40" i="1"/>
  <c r="I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CW32" i="1"/>
  <c r="J32" i="1"/>
  <c r="I32" i="1"/>
  <c r="H32" i="1"/>
  <c r="CW31" i="1"/>
  <c r="J31" i="1"/>
  <c r="I31" i="1"/>
  <c r="H31" i="1"/>
  <c r="CW30" i="1"/>
  <c r="J30" i="1"/>
  <c r="I30" i="1"/>
  <c r="H30" i="1"/>
  <c r="CW29" i="1"/>
  <c r="J29" i="1"/>
  <c r="I29" i="1"/>
  <c r="H29" i="1"/>
  <c r="CW28" i="1"/>
  <c r="J28" i="1"/>
  <c r="I28" i="1"/>
  <c r="H28" i="1"/>
  <c r="CW27" i="1"/>
  <c r="J27" i="1"/>
  <c r="I27" i="1"/>
  <c r="H27" i="1"/>
  <c r="CW26" i="1"/>
  <c r="J26" i="1"/>
  <c r="I26" i="1"/>
  <c r="H26" i="1"/>
  <c r="CW25" i="1"/>
  <c r="J25" i="1"/>
  <c r="I25" i="1"/>
  <c r="H25" i="1"/>
  <c r="CW24" i="1"/>
  <c r="J24" i="1"/>
  <c r="I24" i="1"/>
  <c r="H24" i="1"/>
  <c r="CW23" i="1"/>
  <c r="J23" i="1"/>
  <c r="I23" i="1"/>
  <c r="H23" i="1"/>
  <c r="CW22" i="1"/>
  <c r="J22" i="1"/>
  <c r="I22" i="1"/>
  <c r="H22" i="1"/>
  <c r="CW21" i="1"/>
  <c r="J21" i="1"/>
  <c r="I21" i="1"/>
  <c r="H21" i="1"/>
  <c r="CW20" i="1"/>
  <c r="J20" i="1"/>
  <c r="I20" i="1"/>
  <c r="H20" i="1"/>
  <c r="CW19" i="1"/>
  <c r="J19" i="1"/>
  <c r="I19" i="1"/>
  <c r="H19" i="1"/>
  <c r="CW18" i="1"/>
  <c r="J18" i="1"/>
  <c r="I18" i="1"/>
  <c r="H18" i="1"/>
  <c r="CW17" i="1"/>
  <c r="J17" i="1"/>
  <c r="I17" i="1"/>
  <c r="H17" i="1"/>
  <c r="CW16" i="1"/>
  <c r="J16" i="1"/>
  <c r="I16" i="1"/>
  <c r="H16" i="1"/>
  <c r="CW15" i="1"/>
  <c r="J15" i="1"/>
  <c r="I15" i="1"/>
  <c r="H15" i="1"/>
  <c r="CW14" i="1"/>
  <c r="J14" i="1"/>
  <c r="I14" i="1"/>
  <c r="CW13" i="1"/>
  <c r="J13" i="1"/>
  <c r="I13" i="1"/>
  <c r="CW12" i="1"/>
  <c r="J12" i="1"/>
  <c r="I12" i="1"/>
  <c r="CW11" i="1"/>
  <c r="CW10" i="1"/>
  <c r="CW9" i="1"/>
  <c r="CW8" i="1"/>
  <c r="CW7" i="1"/>
  <c r="CW6" i="1"/>
  <c r="CW5" i="1"/>
  <c r="CW4" i="1"/>
  <c r="CW3" i="1"/>
  <c r="CW2" i="1"/>
  <c r="BA2" i="1" l="1"/>
  <c r="BB2" i="1"/>
  <c r="CW33" i="1"/>
  <c r="CX28" i="1" s="1"/>
  <c r="CY28" i="1" s="1"/>
  <c r="AZ2" i="1"/>
  <c r="BC2" i="1" s="1"/>
  <c r="CX13" i="1" l="1"/>
  <c r="CY13" i="1" s="1"/>
  <c r="CX10" i="1"/>
  <c r="CY10" i="1" s="1"/>
  <c r="CX5" i="1"/>
  <c r="CY5" i="1" s="1"/>
  <c r="CX7" i="1"/>
  <c r="CY7" i="1" s="1"/>
  <c r="CX15" i="1"/>
  <c r="CY15" i="1" s="1"/>
  <c r="CX8" i="1"/>
  <c r="CY8" i="1" s="1"/>
  <c r="CX4" i="1"/>
  <c r="CY4" i="1" s="1"/>
  <c r="CX2" i="1"/>
  <c r="CY2" i="1" s="1"/>
  <c r="CX31" i="1"/>
  <c r="CY31" i="1" s="1"/>
  <c r="CX25" i="1"/>
  <c r="CY25" i="1" s="1"/>
  <c r="CX19" i="1"/>
  <c r="CY19" i="1" s="1"/>
  <c r="CX29" i="1"/>
  <c r="CY29" i="1" s="1"/>
  <c r="CX9" i="1"/>
  <c r="CY9" i="1" s="1"/>
  <c r="CX21" i="1"/>
  <c r="CY21" i="1" s="1"/>
  <c r="DB28" i="1"/>
  <c r="DQ162" i="1" s="1"/>
  <c r="DA28" i="1"/>
  <c r="DQ161" i="1" s="1"/>
  <c r="CZ28" i="1"/>
  <c r="DQ160" i="1" s="1"/>
  <c r="DC28" i="1"/>
  <c r="DQ163" i="1" s="1"/>
  <c r="CX26" i="1"/>
  <c r="CY26" i="1" s="1"/>
  <c r="CX6" i="1"/>
  <c r="CY6" i="1" s="1"/>
  <c r="CX16" i="1"/>
  <c r="CY16" i="1" s="1"/>
  <c r="CX17" i="1"/>
  <c r="CY17" i="1" s="1"/>
  <c r="CX24" i="1"/>
  <c r="CY24" i="1" s="1"/>
  <c r="CX20" i="1"/>
  <c r="CY20" i="1" s="1"/>
  <c r="CX30" i="1"/>
  <c r="CY30" i="1" s="1"/>
  <c r="CX14" i="1"/>
  <c r="CY14" i="1" s="1"/>
  <c r="CX32" i="1"/>
  <c r="CY32" i="1" s="1"/>
  <c r="CX23" i="1"/>
  <c r="CY23" i="1" s="1"/>
  <c r="CX12" i="1"/>
  <c r="CY12" i="1" s="1"/>
  <c r="CX18" i="1"/>
  <c r="CY18" i="1" s="1"/>
  <c r="CX27" i="1"/>
  <c r="CY27" i="1" s="1"/>
  <c r="CX22" i="1"/>
  <c r="CY22" i="1" s="1"/>
  <c r="CX11" i="1"/>
  <c r="CY11" i="1" s="1"/>
  <c r="CX3" i="1"/>
  <c r="CY3" i="1" s="1"/>
  <c r="DC23" i="1" l="1"/>
  <c r="DQ133" i="1" s="1"/>
  <c r="DB23" i="1"/>
  <c r="DQ132" i="1" s="1"/>
  <c r="DA23" i="1"/>
  <c r="DQ131" i="1" s="1"/>
  <c r="CZ23" i="1"/>
  <c r="DQ130" i="1" s="1"/>
  <c r="DB6" i="1"/>
  <c r="DQ30" i="1" s="1"/>
  <c r="CZ6" i="1"/>
  <c r="DQ28" i="1" s="1"/>
  <c r="DC6" i="1"/>
  <c r="DQ31" i="1" s="1"/>
  <c r="DA6" i="1"/>
  <c r="DQ29" i="1" s="1"/>
  <c r="DC29" i="1"/>
  <c r="DQ169" i="1" s="1"/>
  <c r="DB29" i="1"/>
  <c r="DQ168" i="1" s="1"/>
  <c r="DA29" i="1"/>
  <c r="DQ167" i="1" s="1"/>
  <c r="CZ29" i="1"/>
  <c r="DQ166" i="1" s="1"/>
  <c r="CZ2" i="1"/>
  <c r="DQ4" i="1" s="1"/>
  <c r="DB2" i="1"/>
  <c r="DQ6" i="1" s="1"/>
  <c r="DC2" i="1"/>
  <c r="DQ7" i="1" s="1"/>
  <c r="DA2" i="1"/>
  <c r="DQ5" i="1" s="1"/>
  <c r="DA7" i="1"/>
  <c r="DQ35" i="1" s="1"/>
  <c r="CZ7" i="1"/>
  <c r="DQ34" i="1" s="1"/>
  <c r="DC7" i="1"/>
  <c r="DQ37" i="1" s="1"/>
  <c r="DB7" i="1"/>
  <c r="DQ36" i="1" s="1"/>
  <c r="CZ27" i="1"/>
  <c r="DQ154" i="1" s="1"/>
  <c r="DC27" i="1"/>
  <c r="DQ157" i="1" s="1"/>
  <c r="DB27" i="1"/>
  <c r="DQ156" i="1" s="1"/>
  <c r="DA27" i="1"/>
  <c r="DQ155" i="1" s="1"/>
  <c r="DB32" i="1"/>
  <c r="DQ186" i="1" s="1"/>
  <c r="DA32" i="1"/>
  <c r="DQ185" i="1" s="1"/>
  <c r="H42" i="1" s="1"/>
  <c r="CZ32" i="1"/>
  <c r="DQ184" i="1" s="1"/>
  <c r="DC32" i="1"/>
  <c r="DQ187" i="1" s="1"/>
  <c r="CZ24" i="1"/>
  <c r="DQ136" i="1" s="1"/>
  <c r="DC24" i="1"/>
  <c r="DQ139" i="1" s="1"/>
  <c r="DB24" i="1"/>
  <c r="DQ138" i="1" s="1"/>
  <c r="DA24" i="1"/>
  <c r="DQ137" i="1" s="1"/>
  <c r="DB26" i="1"/>
  <c r="DQ150" i="1" s="1"/>
  <c r="DA26" i="1"/>
  <c r="DQ149" i="1" s="1"/>
  <c r="DC26" i="1"/>
  <c r="DQ151" i="1" s="1"/>
  <c r="CZ26" i="1"/>
  <c r="DQ148" i="1" s="1"/>
  <c r="DA19" i="1"/>
  <c r="DQ107" i="1" s="1"/>
  <c r="CZ19" i="1"/>
  <c r="DQ106" i="1" s="1"/>
  <c r="DC19" i="1"/>
  <c r="DQ109" i="1" s="1"/>
  <c r="DB19" i="1"/>
  <c r="DQ108" i="1" s="1"/>
  <c r="CZ4" i="1"/>
  <c r="DQ16" i="1" s="1"/>
  <c r="H14" i="1" s="1"/>
  <c r="DB4" i="1"/>
  <c r="DQ18" i="1" s="1"/>
  <c r="DA4" i="1"/>
  <c r="DQ17" i="1" s="1"/>
  <c r="DC4" i="1"/>
  <c r="DQ19" i="1" s="1"/>
  <c r="DC5" i="1"/>
  <c r="DQ25" i="1" s="1"/>
  <c r="DB5" i="1"/>
  <c r="DQ24" i="1" s="1"/>
  <c r="DA5" i="1"/>
  <c r="DQ23" i="1" s="1"/>
  <c r="CZ5" i="1"/>
  <c r="DQ22" i="1" s="1"/>
  <c r="DB22" i="1"/>
  <c r="DQ126" i="1" s="1"/>
  <c r="DA22" i="1"/>
  <c r="DQ125" i="1" s="1"/>
  <c r="CZ22" i="1"/>
  <c r="DQ124" i="1" s="1"/>
  <c r="DC22" i="1"/>
  <c r="DQ127" i="1" s="1"/>
  <c r="DB20" i="1"/>
  <c r="DQ114" i="1" s="1"/>
  <c r="DA20" i="1"/>
  <c r="DQ113" i="1" s="1"/>
  <c r="DC20" i="1"/>
  <c r="DQ115" i="1" s="1"/>
  <c r="CZ20" i="1"/>
  <c r="DQ112" i="1" s="1"/>
  <c r="CZ3" i="1"/>
  <c r="DQ10" i="1" s="1"/>
  <c r="DC3" i="1"/>
  <c r="DQ13" i="1" s="1"/>
  <c r="DB3" i="1"/>
  <c r="DQ12" i="1" s="1"/>
  <c r="DA3" i="1"/>
  <c r="DQ11" i="1" s="1"/>
  <c r="DB14" i="1"/>
  <c r="DQ78" i="1" s="1"/>
  <c r="DC14" i="1"/>
  <c r="DQ79" i="1" s="1"/>
  <c r="CZ14" i="1"/>
  <c r="DQ76" i="1" s="1"/>
  <c r="DA14" i="1"/>
  <c r="DQ77" i="1" s="1"/>
  <c r="CZ21" i="1"/>
  <c r="DQ118" i="1" s="1"/>
  <c r="DC21" i="1"/>
  <c r="DQ121" i="1" s="1"/>
  <c r="DB21" i="1"/>
  <c r="DQ120" i="1" s="1"/>
  <c r="DA21" i="1"/>
  <c r="DQ119" i="1" s="1"/>
  <c r="DA25" i="1"/>
  <c r="DQ143" i="1" s="1"/>
  <c r="CZ25" i="1"/>
  <c r="DQ142" i="1" s="1"/>
  <c r="DC25" i="1"/>
  <c r="DQ145" i="1" s="1"/>
  <c r="DB25" i="1"/>
  <c r="DQ144" i="1" s="1"/>
  <c r="DA8" i="1"/>
  <c r="DQ41" i="1" s="1"/>
  <c r="DB8" i="1"/>
  <c r="DQ42" i="1" s="1"/>
  <c r="CZ8" i="1"/>
  <c r="DQ40" i="1" s="1"/>
  <c r="DC8" i="1"/>
  <c r="DQ43" i="1" s="1"/>
  <c r="DC10" i="1"/>
  <c r="DQ55" i="1" s="1"/>
  <c r="DA10" i="1"/>
  <c r="DQ53" i="1" s="1"/>
  <c r="DB10" i="1"/>
  <c r="DQ54" i="1" s="1"/>
  <c r="CZ10" i="1"/>
  <c r="DQ52" i="1" s="1"/>
  <c r="CZ18" i="1"/>
  <c r="DQ100" i="1" s="1"/>
  <c r="DC18" i="1"/>
  <c r="DQ103" i="1" s="1"/>
  <c r="DB18" i="1"/>
  <c r="DQ102" i="1" s="1"/>
  <c r="DA18" i="1"/>
  <c r="DQ101" i="1" s="1"/>
  <c r="DC17" i="1"/>
  <c r="DQ97" i="1" s="1"/>
  <c r="DB17" i="1"/>
  <c r="DQ96" i="1" s="1"/>
  <c r="DA17" i="1"/>
  <c r="DQ95" i="1" s="1"/>
  <c r="CZ17" i="1"/>
  <c r="DQ94" i="1" s="1"/>
  <c r="DC11" i="1"/>
  <c r="DQ61" i="1" s="1"/>
  <c r="DA11" i="1"/>
  <c r="DQ59" i="1" s="1"/>
  <c r="CZ11" i="1"/>
  <c r="DQ58" i="1" s="1"/>
  <c r="DB11" i="1"/>
  <c r="DQ60" i="1" s="1"/>
  <c r="CZ12" i="1"/>
  <c r="DQ64" i="1" s="1"/>
  <c r="DB12" i="1"/>
  <c r="DQ66" i="1" s="1"/>
  <c r="DC12" i="1"/>
  <c r="DQ67" i="1" s="1"/>
  <c r="DA12" i="1"/>
  <c r="DQ65" i="1" s="1"/>
  <c r="CZ30" i="1"/>
  <c r="DQ172" i="1" s="1"/>
  <c r="DC30" i="1"/>
  <c r="DQ175" i="1" s="1"/>
  <c r="DB30" i="1"/>
  <c r="DQ174" i="1" s="1"/>
  <c r="DA30" i="1"/>
  <c r="DQ173" i="1" s="1"/>
  <c r="H40" i="1" s="1"/>
  <c r="DB16" i="1"/>
  <c r="DQ90" i="1" s="1"/>
  <c r="DA16" i="1"/>
  <c r="DQ89" i="1" s="1"/>
  <c r="CZ16" i="1"/>
  <c r="DQ88" i="1" s="1"/>
  <c r="DC16" i="1"/>
  <c r="DQ91" i="1" s="1"/>
  <c r="DB9" i="1"/>
  <c r="DQ48" i="1" s="1"/>
  <c r="CZ9" i="1"/>
  <c r="DQ46" i="1" s="1"/>
  <c r="DC9" i="1"/>
  <c r="DQ49" i="1" s="1"/>
  <c r="DA9" i="1"/>
  <c r="DQ47" i="1" s="1"/>
  <c r="DA31" i="1"/>
  <c r="DQ179" i="1" s="1"/>
  <c r="H41" i="1" s="1"/>
  <c r="CZ31" i="1"/>
  <c r="DQ178" i="1" s="1"/>
  <c r="DC31" i="1"/>
  <c r="DQ181" i="1" s="1"/>
  <c r="DB31" i="1"/>
  <c r="DQ180" i="1" s="1"/>
  <c r="CZ15" i="1"/>
  <c r="DQ82" i="1" s="1"/>
  <c r="DB15" i="1"/>
  <c r="DQ84" i="1" s="1"/>
  <c r="DC15" i="1"/>
  <c r="DQ85" i="1" s="1"/>
  <c r="DA15" i="1"/>
  <c r="DQ83" i="1" s="1"/>
  <c r="DA13" i="1"/>
  <c r="DQ71" i="1" s="1"/>
  <c r="DC13" i="1"/>
  <c r="DQ73" i="1" s="1"/>
  <c r="DB13" i="1"/>
  <c r="DQ72" i="1" s="1"/>
  <c r="CZ13" i="1"/>
  <c r="DQ70" i="1" s="1"/>
  <c r="H13" i="1" l="1"/>
  <c r="H12" i="1"/>
  <c r="AY2" i="1" s="1"/>
  <c r="AX2" i="1" l="1"/>
  <c r="FF3" i="1"/>
  <c r="FF2" i="1"/>
  <c r="FF5" i="1"/>
  <c r="FF4" i="1"/>
  <c r="BD2" i="1" l="1"/>
  <c r="F7" i="1" s="1"/>
</calcChain>
</file>

<file path=xl/sharedStrings.xml><?xml version="1.0" encoding="utf-8"?>
<sst xmlns="http://schemas.openxmlformats.org/spreadsheetml/2006/main" count="358" uniqueCount="249">
  <si>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</si>
  <si>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</si>
  <si>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</si>
  <si>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</si>
  <si>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</si>
  <si>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</si>
  <si>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</si>
  <si>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</si>
  <si>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</si>
  <si>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</si>
  <si>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</si>
  <si>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</si>
  <si>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</si>
  <si>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</si>
  <si>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</si>
  <si>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</si>
  <si>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</si>
  <si>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</si>
  <si>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</si>
  <si>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</si>
  <si>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</si>
  <si>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</si>
  <si>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</si>
  <si>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</si>
  <si>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</si>
  <si>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D/508/4122 - Sports Coaching</t>
  </si>
  <si>
    <t>J/508/4583 - Exercise, Health and Lifestyle_Not Yet Achieved</t>
  </si>
  <si>
    <t>Grading Calculator</t>
  </si>
  <si>
    <t>D/508/4587 - Practical Team Sports</t>
  </si>
  <si>
    <t>J/508/4583 - Exercise, Health and Lifestyle_Pass</t>
  </si>
  <si>
    <t>601/8878/9/COA - NCFE Level 3 Certificate in Sport and Physical Activity (Sports Coaching)</t>
  </si>
  <si>
    <t>H/508/4588 - Practical Individual Sports</t>
  </si>
  <si>
    <t>J/508/4583 - Exercise, Health and Lifestyle_Merit</t>
  </si>
  <si>
    <t>Estimated Final Grade</t>
  </si>
  <si>
    <t>R/508/4635 - Coaching Special Populations</t>
  </si>
  <si>
    <t>J/508/4583 - Exercise, Health and Lifestyle_Distinction</t>
  </si>
  <si>
    <t>Learners are required to successfully complete 3 mandatory units and 3 optional units.</t>
  </si>
  <si>
    <t>M/508/4593 - Technical and Tactical Skills in Sport</t>
  </si>
  <si>
    <t>D/508/4637 - Preparing for a Career in Sport and Physical Activity_</t>
  </si>
  <si>
    <t>K/508/4592 - Psychology for Sports Performance</t>
  </si>
  <si>
    <t>D/508/4637 - Preparing for a Career in Sport and Physical Activity_Not Applicable</t>
  </si>
  <si>
    <t>A/508/4600 - Analysis of Sports Performance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</si>
  <si>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</si>
  <si>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</si>
  <si>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</si>
  <si>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</si>
  <si>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</si>
  <si>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</si>
  <si>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Y/508/4622 - Sports Nutrition</t>
  </si>
  <si>
    <t>D/508/4637 - Preparing for a Career in Sport and Physical Activity_Pass</t>
  </si>
  <si>
    <t>Yes</t>
  </si>
  <si>
    <t>H/508/4591 - Fitness Testing for Sport and Exercise</t>
  </si>
  <si>
    <t>D/508/4637 - Preparing for a Career in Sport and Physical Activity_Merit</t>
  </si>
  <si>
    <t>F/508/4582 - Assessing Risk in Sport</t>
  </si>
  <si>
    <t>D/508/4637 - Preparing for a Career in Sport and Physical Activity_Distinction</t>
  </si>
  <si>
    <t>L/508/4584 - Principles of Anatomy and Physiology</t>
  </si>
  <si>
    <t>D/508/4122 - Sports Coaching_</t>
  </si>
  <si>
    <t>No</t>
  </si>
  <si>
    <t>K/508/4589 - The Physiology of Fitness</t>
  </si>
  <si>
    <t>D/508/4122 - Sports Coaching_Not Applicable</t>
  </si>
  <si>
    <t>D/508/4590 - Fitness Training and Programming</t>
  </si>
  <si>
    <t>D/508/4122 - Sports Coaching_Not Yet Achieved</t>
  </si>
  <si>
    <t>T/508/4594 - The Athlete's Lifestyle</t>
  </si>
  <si>
    <t>D/508/4122 - Sports Coaching_Pass</t>
  </si>
  <si>
    <t>A/508/4595 - Current Issues in Sport</t>
  </si>
  <si>
    <t>D/508/4122 - Sports Coaching_Merit</t>
  </si>
  <si>
    <t>F/508/4596 - Instructing Physical Activity and Exercise</t>
  </si>
  <si>
    <t>D/508/4122 - Sports Coaching_Distinction</t>
  </si>
  <si>
    <t>J/508/4597 - Sports Injuries</t>
  </si>
  <si>
    <t>D/508/4587 - Practical Team Sports_</t>
  </si>
  <si>
    <t>L/508/4598 - Sport Development</t>
  </si>
  <si>
    <t>D/508/4587 - Practical Team Sports_Not Applicable</t>
  </si>
  <si>
    <t>R/508/4599 - Leadership in Sport</t>
  </si>
  <si>
    <t>D/508/4587 - Practical Team Sports_Not Yet Achieved</t>
  </si>
  <si>
    <t>F/508/4601 - Ethics and Values in Sport</t>
  </si>
  <si>
    <t>D/508/4587 - Practical Team Sports_Pass</t>
  </si>
  <si>
    <t>J/508/4602 - Business in Sport</t>
  </si>
  <si>
    <t>D/508/4587 - Practical Team Sports_Merit</t>
  </si>
  <si>
    <t>L/508/4603 - Sport and Exercise Massage</t>
  </si>
  <si>
    <t>D/508/4587 - Practical Team Sports_Distinction</t>
  </si>
  <si>
    <t>R/508/4604 - Organising Sports Events</t>
  </si>
  <si>
    <t>H/508/4588 - Practical Individual Sports_</t>
  </si>
  <si>
    <t>D/508/4606 - Applied Strength and Conditioning</t>
  </si>
  <si>
    <t>H/508/4588 - Practical Individual Sports_Not Applicable</t>
  </si>
  <si>
    <t>D/508/4623 - Personal and Professional Development</t>
  </si>
  <si>
    <t>H/508/4588 - Practical Individual Sports_Not Yet Achieved</t>
  </si>
  <si>
    <t>Y/508/4619 - Performance Management in Sport and Physical Activity Businesses</t>
  </si>
  <si>
    <t>H/508/4588 - Practical Individual Sports_Pass</t>
  </si>
  <si>
    <t>Y/508/4586 - Work Experience in Sport</t>
  </si>
  <si>
    <t>H/508/4588 - Practical Individual Sports_Merit</t>
  </si>
  <si>
    <t>H/508/4638 - Innovation and Enterprise</t>
  </si>
  <si>
    <t>H/508/4588 - Practical Individual Sports_Distinction</t>
  </si>
  <si>
    <t>L/508/4620 - Marketing Skills for Sport and Physical Activity</t>
  </si>
  <si>
    <t>R/508/4635 - Coaching Special Populations_</t>
  </si>
  <si>
    <t>R/508/4635 - Coaching Special Populations_Not Applicable</t>
  </si>
  <si>
    <t>R/508/4635 - Coaching Special Populations_Not Yet Achieved</t>
  </si>
  <si>
    <t>R/508/4635 - Coaching Special Populations_Pass</t>
  </si>
  <si>
    <t>R/508/4635 - Coaching Special Populations_Merit</t>
  </si>
  <si>
    <t>R/508/4635 - Coaching Special Populations_Distinction</t>
  </si>
  <si>
    <t>M/508/4593 - Technical and Tactical Skills in Sport_</t>
  </si>
  <si>
    <t>M/508/4593 - Technical and Tactical Skills in Sport_Not Applicable</t>
  </si>
  <si>
    <t>M/508/4593 - Technical and Tactical Skills in Sport_Not Yet Achieved</t>
  </si>
  <si>
    <t>M/508/4593 - Technical and Tactical Skills in Sport_Pass</t>
  </si>
  <si>
    <t>M/508/4593 - Technical and Tactical Skills in Sport_Merit</t>
  </si>
  <si>
    <t>M/508/4593 - Technical and Tactical Skills in Sport_Distinction</t>
  </si>
  <si>
    <t>K/508/4592 - Psychology for Sports Performance_</t>
  </si>
  <si>
    <t>K/508/4592 - Psychology for Sports Performance_Not Applicable</t>
  </si>
  <si>
    <t>K/508/4592 - Psychology for Sports Performance_Not Yet Achieved</t>
  </si>
  <si>
    <t>K/508/4592 - Psychology for Sports Performance_Pass</t>
  </si>
  <si>
    <t>K/508/4592 - Psychology for Sports Performance_Merit</t>
  </si>
  <si>
    <t>K/508/4592 - Psychology for Sports Performance_Distinction</t>
  </si>
  <si>
    <t>A/508/4600 - Analysis of Sports Performance_</t>
  </si>
  <si>
    <t>A/508/4600 - Analysis of Sports Performance_Not Applicable</t>
  </si>
  <si>
    <t>A/508/4600 - Analysis of Sports Performance_Not Yet Achieved</t>
  </si>
  <si>
    <t>A/508/4600 - Analysis of Sports Performance_Pass</t>
  </si>
  <si>
    <t>A/508/4600 - Analysis of Sports Performance_Merit</t>
  </si>
  <si>
    <t>A/508/4600 - Analysis of Sports Performance_Distinction</t>
  </si>
  <si>
    <t>Y/508/4622 - Sports Nutrition_</t>
  </si>
  <si>
    <t>Y/508/4622 - Sports Nutrition_Not Applicable</t>
  </si>
  <si>
    <t>Y/508/4622 - Sports Nutrition_Not Yet Achieved</t>
  </si>
  <si>
    <t>Y/508/4622 - Sports Nutrition_Pass</t>
  </si>
  <si>
    <t>Y/508/4622 - Sports Nutrition_Merit</t>
  </si>
  <si>
    <t>Y/508/4622 - Sports Nutrition_Distinction</t>
  </si>
  <si>
    <t>H/508/4591 - Fitness Testing for Sport and Exercise_</t>
  </si>
  <si>
    <t>H/508/4591 - Fitness Testing for Sport and Exercise_Not Applicable</t>
  </si>
  <si>
    <t>H/508/4591 - Fitness Testing for Sport and Exercise_Not Yet Achieved</t>
  </si>
  <si>
    <t>H/508/4591 - Fitness Testing for Sport and Exercise_Pass</t>
  </si>
  <si>
    <t>H/508/4591 - Fitness Testing for Sport and Exercise_Merit</t>
  </si>
  <si>
    <t>H/508/4591 - Fitness Testing for Sport and Exercise_Distinction</t>
  </si>
  <si>
    <t>F/508/4582 - Assessing Risk in Sport_</t>
  </si>
  <si>
    <t>F/508/4582 - Assessing Risk in Sport_Not Applicable</t>
  </si>
  <si>
    <t>F/508/4582 - Assessing Risk in Sport_Not Yet Achieved</t>
  </si>
  <si>
    <t>F/508/4582 - Assessing Risk in Sport_Pass</t>
  </si>
  <si>
    <t>F/508/4582 - Assessing Risk in Sport_Merit</t>
  </si>
  <si>
    <t>F/508/4582 - Assessing Risk in Sport_Distinction</t>
  </si>
  <si>
    <t>L/508/4584 - Principles of Anatomy and Physiology_</t>
  </si>
  <si>
    <t>L/508/4584 - Principles of Anatomy and Physiology_Not Applicable</t>
  </si>
  <si>
    <t>L/508/4584 - Principles of Anatomy and Physiology_Not Yet Achieved</t>
  </si>
  <si>
    <t>L/508/4584 - Principles of Anatomy and Physiology_Pass</t>
  </si>
  <si>
    <t>L/508/4584 - Principles of Anatomy and Physiology_Merit</t>
  </si>
  <si>
    <t>L/508/4584 - Principles of Anatomy and Physiology_Distinction</t>
  </si>
  <si>
    <t>K/508/4589 - The Physiology of Fitness_</t>
  </si>
  <si>
    <t>K/508/4589 - The Physiology of Fitness_Not Applicable</t>
  </si>
  <si>
    <t>K/508/4589 - The Physiology of Fitness_Not Yet Achieved</t>
  </si>
  <si>
    <t>K/508/4589 - The Physiology of Fitness_Pass</t>
  </si>
  <si>
    <t>K/508/4589 - The Physiology of Fitness_Merit</t>
  </si>
  <si>
    <t>K/508/4589 - The Physiology of Fitness_Distinction</t>
  </si>
  <si>
    <t>D/508/4590 - Fitness Training and Programming_</t>
  </si>
  <si>
    <t>D/508/4590 - Fitness Training and Programming_Not Applicable</t>
  </si>
  <si>
    <t>D/508/4590 - Fitness Training and Programming_Not Yet Achieved</t>
  </si>
  <si>
    <t>D/508/4590 - Fitness Training and Programming_Pass</t>
  </si>
  <si>
    <t>D/508/4590 - Fitness Training and Programming_Merit</t>
  </si>
  <si>
    <t>D/508/4590 - Fitness Training and Programming_Distinction</t>
  </si>
  <si>
    <t>T/508/4594 - The Athlete's Lifestyle_</t>
  </si>
  <si>
    <t>T/508/4594 - The Athlete's Lifestyle_Not Applicable</t>
  </si>
  <si>
    <t>T/508/4594 - The Athlete's Lifestyle_Not Yet Achieved</t>
  </si>
  <si>
    <t>T/508/4594 - The Athlete's Lifestyle_Pass</t>
  </si>
  <si>
    <t>T/508/4594 - The Athlete's Lifestyle_Merit</t>
  </si>
  <si>
    <t>T/508/4594 - The Athlete's Lifestyle_Distinction</t>
  </si>
  <si>
    <t>A/508/4595 - Current Issues in Sport_</t>
  </si>
  <si>
    <t>A/508/4595 - Current Issues in Sport_Not Applicable</t>
  </si>
  <si>
    <t>A/508/4595 - Current Issues in Sport_Not Yet Achieved</t>
  </si>
  <si>
    <t>A/508/4595 - Current Issues in Sport_Pass</t>
  </si>
  <si>
    <t>A/508/4595 - Current Issues in Sport_Merit</t>
  </si>
  <si>
    <t>A/508/4595 - Current Issues in Sport_Distinction</t>
  </si>
  <si>
    <t>F/508/4596 - Instructing Physical Activity and Exercise_</t>
  </si>
  <si>
    <t>F/508/4596 - Instructing Physical Activity and Exercise_Not Applicable</t>
  </si>
  <si>
    <t>F/508/4596 - Instructing Physical Activity and Exercise_Not Yet Achieved</t>
  </si>
  <si>
    <t>F/508/4596 - Instructing Physical Activity and Exercise_Pass</t>
  </si>
  <si>
    <t>F/508/4596 - Instructing Physical Activity and Exercise_Merit</t>
  </si>
  <si>
    <t>F/508/4596 - Instructing Physical Activity and Exercise_Distinction</t>
  </si>
  <si>
    <t>J/508/4597 - Sports Injuries_</t>
  </si>
  <si>
    <t>J/508/4597 - Sports Injuries_Not Applicable</t>
  </si>
  <si>
    <t>J/508/4597 - Sports Injuries_Not Yet Achieved</t>
  </si>
  <si>
    <t>J/508/4597 - Sports Injuries_Pass</t>
  </si>
  <si>
    <t>J/508/4597 - Sports Injuries_Merit</t>
  </si>
  <si>
    <t>J/508/4597 - Sports Injuries_Distinction</t>
  </si>
  <si>
    <t>L/508/4598 - Sport Development_</t>
  </si>
  <si>
    <t>L/508/4598 - Sport Development_Not Applicable</t>
  </si>
  <si>
    <t>L/508/4598 - Sport Development_Not Yet Achieved</t>
  </si>
  <si>
    <t>L/508/4598 - Sport Development_Pass</t>
  </si>
  <si>
    <t>L/508/4598 - Sport Development_Merit</t>
  </si>
  <si>
    <t>L/508/4598 - Sport Development_Distinction</t>
  </si>
  <si>
    <t>R/508/4599 - Leadership in Sport_</t>
  </si>
  <si>
    <t>R/508/4599 - Leadership in Sport_Not Applicable</t>
  </si>
  <si>
    <t>R/508/4599 - Leadership in Sport_Not Yet Achieved</t>
  </si>
  <si>
    <t>R/508/4599 - Leadership in Sport_Pass</t>
  </si>
  <si>
    <t>R/508/4599 - Leadership in Sport_Merit</t>
  </si>
  <si>
    <t>R/508/4599 - Leadership in Sport_Distinction</t>
  </si>
  <si>
    <t>F/508/4601 - Ethics and Values in Sport_</t>
  </si>
  <si>
    <t>F/508/4601 - Ethics and Values in Sport_Not Applicable</t>
  </si>
  <si>
    <t>F/508/4601 - Ethics and Values in Sport_Not Yet Achieved</t>
  </si>
  <si>
    <t>F/508/4601 - Ethics and Values in Sport_Pass</t>
  </si>
  <si>
    <t>F/508/4601 - Ethics and Values in Sport_Merit</t>
  </si>
  <si>
    <t>F/508/4601 - Ethics and Values in Sport_Distinction</t>
  </si>
  <si>
    <t>J/508/4602 - Business in Sport_</t>
  </si>
  <si>
    <t>J/508/4602 - Business in Sport_Not Applicable</t>
  </si>
  <si>
    <t>J/508/4602 - Business in Sport_Not Yet Achieved</t>
  </si>
  <si>
    <t>J/508/4602 - Business in Sport_Pass</t>
  </si>
  <si>
    <t>J/508/4602 - Business in Sport_Merit</t>
  </si>
  <si>
    <t>J/508/4602 - Business in Sport_Distinction</t>
  </si>
  <si>
    <t>L/508/4603 - Sport and Exercise Massage_</t>
  </si>
  <si>
    <t>L/508/4603 - Sport and Exercise Massage_Not Applicable</t>
  </si>
  <si>
    <t>L/508/4603 - Sport and Exercise Massage_Not Yet Achieved</t>
  </si>
  <si>
    <t>L/508/4603 - Sport and Exercise Massage_Pass</t>
  </si>
  <si>
    <t>L/508/4603 - Sport and Exercise Massage_Merit</t>
  </si>
  <si>
    <t>L/508/4603 - Sport and Exercise Massage_Distinction</t>
  </si>
  <si>
    <t>R/508/4604 - Organising Sports Events_</t>
  </si>
  <si>
    <t>R/508/4604 - Organising Sports Events_Not Applicable</t>
  </si>
  <si>
    <t>R/508/4604 - Organising Sports Events_Not Yet Achieved</t>
  </si>
  <si>
    <t>R/508/4604 - Organising Sports Events_Pass</t>
  </si>
  <si>
    <t>R/508/4604 - Organising Sports Events_Merit</t>
  </si>
  <si>
    <t>R/508/4604 - Organising Sports Events_Distinction</t>
  </si>
  <si>
    <t>D/508/4606 - Applied Strength and Conditioning_</t>
  </si>
  <si>
    <t>D/508/4606 - Applied Strength and Conditioning_Not Applicable</t>
  </si>
  <si>
    <t>D/508/4606 - Applied Strength and Conditioning_Not Yet Achieved</t>
  </si>
  <si>
    <t>D/508/4606 - Applied Strength and Conditioning_Pass</t>
  </si>
  <si>
    <t>D/508/4606 - Applied Strength and Conditioning_Merit</t>
  </si>
  <si>
    <t>D/508/4606 - Applied Strength and Conditioning_Distinction</t>
  </si>
  <si>
    <t>D/508/4623 - Personal and Professional Development_</t>
  </si>
  <si>
    <t>D/508/4623 - Personal and Professional Development_Not Applicable</t>
  </si>
  <si>
    <t>D/508/4623 - Personal and Professional Development_Not Yet Achieved</t>
  </si>
  <si>
    <t>D/508/4623 - Personal and Professional Development_Pass</t>
  </si>
  <si>
    <t>D/508/4623 - Personal and Professional Development_Merit</t>
  </si>
  <si>
    <t>D/508/4623 - Personal and Professional Development_Distinction</t>
  </si>
  <si>
    <t>Y/508/4619 - Performance Management in Sport and Physical Activity Businesses_</t>
  </si>
  <si>
    <t>Y/508/4619 - Performance Management in Sport and Physical Activity Businesses_Not Applicable</t>
  </si>
  <si>
    <t>Y/508/4619 - Performance Management in Sport and Physical Activity Businesses_Not Yet Achieved</t>
  </si>
  <si>
    <t>Y/508/4619 - Performance Management in Sport and Physical Activity Businesses_Pass</t>
  </si>
  <si>
    <t>Y/508/4619 - Performance Management in Sport and Physical Activity Businesses_Merit</t>
  </si>
  <si>
    <t>Y/508/4619 - Performance Management in Sport and Physical Activity Businesses_Distinction</t>
  </si>
  <si>
    <t>Y/508/4586 - Work Experience in Sport_</t>
  </si>
  <si>
    <t>Y/508/4586 - Work Experience in Sport_Not Applicable</t>
  </si>
  <si>
    <t>Y/508/4586 - Work Experience in Sport_Not Yet Achieved</t>
  </si>
  <si>
    <t>Y/508/4586 - Work Experience in Sport_Pass</t>
  </si>
  <si>
    <t>Y/508/4586 - Work Experience in Sport_Merit</t>
  </si>
  <si>
    <t>Y/508/4586 - Work Experience in Sport_Distinction</t>
  </si>
  <si>
    <t>H/508/4638 - Innovation and Enterprise_</t>
  </si>
  <si>
    <t>H/508/4638 - Innovation and Enterprise_Not Applicable</t>
  </si>
  <si>
    <t>H/508/4638 - Innovation and Enterprise_Not Yet Achieved</t>
  </si>
  <si>
    <t>H/508/4638 - Innovation and Enterprise_Pass</t>
  </si>
  <si>
    <t>H/508/4638 - Innovation and Enterprise_Merit</t>
  </si>
  <si>
    <t>H/508/4638 - Innovation and Enterprise_Distinction</t>
  </si>
  <si>
    <t>L/508/4620 - Marketing Skills for Sport and Physical Activity_</t>
  </si>
  <si>
    <t>L/508/4620 - Marketing Skills for Sport and Physical Activity_Not Applicable</t>
  </si>
  <si>
    <t>L/508/4620 - Marketing Skills for Sport and Physical Activity_Not Yet Achieved</t>
  </si>
  <si>
    <t>L/508/4620 - Marketing Skills for Sport and Physical Activity_Pass</t>
  </si>
  <si>
    <t>L/508/4620 - Marketing Skills for Sport and Physical Activity_Merit</t>
  </si>
  <si>
    <t>L/508/4620 - Marketing Skills for Sport and Physical Activity_Distinction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</si>
</sst>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2" borderId="1" xfId="0" applyNumberFormat="1" applyFont="1" applyFill="1" applyBorder="1"/>
    <xf numFmtId="0" fontId="1" fillId="3" borderId="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38652</xdr:rowOff>
    </xdr:from>
    <xdr:to>
      <xdr:col>4</xdr:col>
      <xdr:colOff>47625</xdr:colOff>
      <xdr:row>2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CE26AF-1BCA-4346-BDC2-E0B6B788F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652"/>
          <a:ext cx="1323975" cy="380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H187"/>
  <sheetViews>
    <sheetView tabSelected="1" workbookViewId="0">
      <selection activeCell="M7" sqref="M7"/>
    </sheetView>
  </sheetViews>
  <sheetFormatPr defaultColWidth="9.1796875" defaultRowHeight="12" x14ac:dyDescent="0.3"/>
  <cols>
    <col min="1" max="2" width="9.1796875" style="1" customWidth="1"/>
    <col min="3" max="4" width="9.1796875" style="1" hidden="1" customWidth="1"/>
    <col min="5" max="5" width="65.90625" style="1" customWidth="1"/>
    <col min="6" max="6" width="13.6328125" style="1" customWidth="1"/>
    <col min="7" max="7" width="9.26953125" style="1" customWidth="1"/>
    <col min="8" max="10" width="9.1796875" style="1" hidden="1" customWidth="1"/>
    <col min="11" max="49" width="9.1796875" style="1" customWidth="1"/>
    <col min="50" max="56" width="9.1796875" style="1" hidden="1" customWidth="1"/>
    <col min="57" max="99" width="9.1796875" style="1" customWidth="1"/>
    <col min="100" max="108" width="9.1796875" style="1" hidden="1" customWidth="1"/>
    <col min="109" max="119" width="9.1796875" style="1" customWidth="1"/>
    <col min="120" max="124" width="9.1796875" style="1" hidden="1" customWidth="1"/>
    <col min="125" max="139" width="9.1796875" style="1" customWidth="1"/>
    <col min="140" max="140" width="9.1796875" style="1" hidden="1" customWidth="1"/>
    <col min="141" max="141" width="9.1796875" style="1" customWidth="1"/>
    <col min="142" max="142" width="9.1796875" style="1" hidden="1" customWidth="1"/>
    <col min="143" max="159" width="9.1796875" style="1" customWidth="1"/>
    <col min="160" max="164" width="9.1796875" style="1" hidden="1" customWidth="1"/>
    <col min="165" max="165" width="9.1796875" style="1" customWidth="1"/>
    <col min="166" max="16384" width="9.1796875" style="1"/>
  </cols>
  <sheetData>
    <row r="1" spans="3:163" x14ac:dyDescent="0.3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 spans="3:163" x14ac:dyDescent="0.3">
      <c r="AX2" s="1">
        <f>SUM(UMSGroup)</f>
        <v>345</v>
      </c>
      <c r="AY2" s="1">
        <f>SUM(UMSGroup)/600</f>
        <v>0.57499999999999996</v>
      </c>
      <c r="AZ2" s="1" t="b">
        <f ca="1">SUMIF(GroupsGroup,1,MandatoryScoreGroup) &gt;= 100</f>
        <v>1</v>
      </c>
      <c r="BA2" s="1" t="b">
        <f ca="1">SUMIF(GroupsGroup,2,MandatoryScoreGroup) &gt;= 100</f>
        <v>1</v>
      </c>
      <c r="BB2" s="1" t="b">
        <f>IF(SUM(HurdleGroup)=0,TRUE,FALSE)</f>
        <v>1</v>
      </c>
      <c r="BC2" s="1" t="b">
        <f ca="1">AND(AZ2,BA2,BB2)</f>
        <v>1</v>
      </c>
      <c r="BD2" s="1" t="str">
        <f>VLOOKUP(1,RawMaxGradeCalc,2,FALSE)</f>
        <v>Merit</v>
      </c>
      <c r="CV2" s="1" t="s">
        <v>21</v>
      </c>
      <c r="CW2" s="1">
        <f t="shared" ref="CW2:CW32" si="0">IF(VLOOKUP(CV2,UnitSelections,2,FALSE) ="Not Applicable",0,60)</f>
        <v>60</v>
      </c>
      <c r="CX2" s="1">
        <f t="shared" ref="CX2:CX32" si="1">SUM(CW2/TotalGHL)</f>
        <v>0.16666666666666666</v>
      </c>
      <c r="CY2" s="1">
        <f t="shared" ref="CY2:CY32" si="2">SUM(CX2*600)</f>
        <v>100</v>
      </c>
      <c r="CZ2" s="1">
        <f t="shared" ref="CZ2:CZ32" si="3">SUM(0 % *CY2)</f>
        <v>0</v>
      </c>
      <c r="DA2" s="1">
        <f t="shared" ref="DA2:DA32" si="4">SUM(50 % *CY2)</f>
        <v>50</v>
      </c>
      <c r="DB2" s="1">
        <f t="shared" ref="DB2:DB32" si="5">SUM(60 % *CY2)</f>
        <v>60</v>
      </c>
      <c r="DC2" s="1">
        <f t="shared" ref="DC2:DC32" si="6">SUM(72.5 % *CY2)</f>
        <v>72.5</v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IF(AND(RawUmsPercent*100&gt;=FD2,RawUmsPercent*100&lt;FE2),1, 0)</f>
        <v>0</v>
      </c>
      <c r="FG2" s="1" t="s">
        <v>11</v>
      </c>
    </row>
    <row r="3" spans="3:163" x14ac:dyDescent="0.3">
      <c r="CV3" s="1" t="s">
        <v>23</v>
      </c>
      <c r="CW3" s="1">
        <f t="shared" si="0"/>
        <v>60</v>
      </c>
      <c r="CX3" s="1">
        <f t="shared" si="1"/>
        <v>0.16666666666666666</v>
      </c>
      <c r="CY3" s="1">
        <f t="shared" si="2"/>
        <v>100</v>
      </c>
      <c r="CZ3" s="1">
        <f t="shared" si="3"/>
        <v>0</v>
      </c>
      <c r="DA3" s="1">
        <f t="shared" si="4"/>
        <v>50</v>
      </c>
      <c r="DB3" s="1">
        <f t="shared" si="5"/>
        <v>60</v>
      </c>
      <c r="DC3" s="1">
        <f t="shared" si="6"/>
        <v>72.5</v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IF(AND(RawUmsPercent*100&gt;=FD3,RawUmsPercent*100&lt;FE3),1, 0)</f>
        <v>0</v>
      </c>
      <c r="FG3" s="1" t="s">
        <v>12</v>
      </c>
    </row>
    <row r="4" spans="3:163" x14ac:dyDescent="0.3">
      <c r="CV4" s="1" t="s">
        <v>25</v>
      </c>
      <c r="CW4" s="1">
        <f t="shared" si="0"/>
        <v>60</v>
      </c>
      <c r="CX4" s="1">
        <f t="shared" si="1"/>
        <v>0.16666666666666666</v>
      </c>
      <c r="CY4" s="1">
        <f t="shared" si="2"/>
        <v>100</v>
      </c>
      <c r="CZ4" s="1">
        <f t="shared" si="3"/>
        <v>0</v>
      </c>
      <c r="DA4" s="1">
        <f t="shared" si="4"/>
        <v>50</v>
      </c>
      <c r="DB4" s="1">
        <f t="shared" si="5"/>
        <v>60</v>
      </c>
      <c r="DC4" s="1">
        <f t="shared" si="6"/>
        <v>72.5</v>
      </c>
      <c r="DP4" s="1" t="s">
        <v>26</v>
      </c>
      <c r="DQ4" s="1">
        <f>VLOOKUP("J/508/4583 - Exercise, Health and Lifestyle",RawScores,5,FALSE)</f>
        <v>0</v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IF(AND(RawUmsPercent*100&gt;=FD4,RawUmsPercent*100&lt;FE4),1, 0)</f>
        <v>1</v>
      </c>
      <c r="FG4" s="1" t="s">
        <v>13</v>
      </c>
    </row>
    <row r="5" spans="3:163" x14ac:dyDescent="0.3">
      <c r="E5" s="1" t="s">
        <v>27</v>
      </c>
      <c r="CV5" s="1" t="s">
        <v>28</v>
      </c>
      <c r="CW5" s="1">
        <f t="shared" si="0"/>
        <v>0</v>
      </c>
      <c r="CX5" s="1">
        <f t="shared" si="1"/>
        <v>0</v>
      </c>
      <c r="CY5" s="1">
        <f t="shared" si="2"/>
        <v>0</v>
      </c>
      <c r="CZ5" s="1">
        <f t="shared" si="3"/>
        <v>0</v>
      </c>
      <c r="DA5" s="1">
        <f t="shared" si="4"/>
        <v>0</v>
      </c>
      <c r="DB5" s="1">
        <f t="shared" si="5"/>
        <v>0</v>
      </c>
      <c r="DC5" s="1">
        <f t="shared" si="6"/>
        <v>0</v>
      </c>
      <c r="DP5" s="1" t="s">
        <v>29</v>
      </c>
      <c r="DQ5" s="1">
        <f>VLOOKUP("J/508/4583 - Exercise, Health and Lifestyle",RawScores,6,FALSE)</f>
        <v>50</v>
      </c>
      <c r="DR5" s="1">
        <v>33.333333333333336</v>
      </c>
      <c r="DS5" s="1">
        <v>0</v>
      </c>
      <c r="EJ5" s="1" t="s">
        <v>14</v>
      </c>
      <c r="FD5" s="1">
        <v>65</v>
      </c>
      <c r="FE5" s="1">
        <v>100.01</v>
      </c>
      <c r="FF5" s="1">
        <f>IF(AND(RawUmsPercent*100&gt;=FD5,RawUmsPercent*100&lt;FE5),1, 0)</f>
        <v>0</v>
      </c>
      <c r="FG5" s="1" t="s">
        <v>14</v>
      </c>
    </row>
    <row r="6" spans="3:163" x14ac:dyDescent="0.3">
      <c r="E6" s="1" t="s">
        <v>30</v>
      </c>
      <c r="CV6" s="1" t="s">
        <v>31</v>
      </c>
      <c r="CW6" s="1">
        <f t="shared" si="0"/>
        <v>0</v>
      </c>
      <c r="CX6" s="1">
        <f t="shared" si="1"/>
        <v>0</v>
      </c>
      <c r="CY6" s="1">
        <f t="shared" si="2"/>
        <v>0</v>
      </c>
      <c r="CZ6" s="1">
        <f t="shared" si="3"/>
        <v>0</v>
      </c>
      <c r="DA6" s="1">
        <f t="shared" si="4"/>
        <v>0</v>
      </c>
      <c r="DB6" s="1">
        <f t="shared" si="5"/>
        <v>0</v>
      </c>
      <c r="DC6" s="1">
        <f t="shared" si="6"/>
        <v>0</v>
      </c>
      <c r="DP6" s="1" t="s">
        <v>32</v>
      </c>
      <c r="DQ6" s="1">
        <f>VLOOKUP("J/508/4583 - Exercise, Health and Lifestyle",RawScores,7,FALSE)</f>
        <v>60</v>
      </c>
      <c r="DR6" s="1">
        <v>33.333333333333336</v>
      </c>
      <c r="DS6" s="1">
        <v>0</v>
      </c>
    </row>
    <row r="7" spans="3:163" x14ac:dyDescent="0.3">
      <c r="E7" s="1" t="s">
        <v>33</v>
      </c>
      <c r="F7" s="3" t="str">
        <f ca="1">IF(HasMet,(IF(AND(COUNTIF(Selections,"Distinction")&gt;=3,COUNTIF(Selections,"Merit")=0,COUNTIF(Selections,"Pass")=0),"Distinction *",RawGrade)),"Not Yet Achieved")</f>
        <v>Merit</v>
      </c>
      <c r="CV7" s="1" t="s">
        <v>34</v>
      </c>
      <c r="CW7" s="1">
        <f t="shared" si="0"/>
        <v>0</v>
      </c>
      <c r="CX7" s="1">
        <f t="shared" si="1"/>
        <v>0</v>
      </c>
      <c r="CY7" s="1">
        <f t="shared" si="2"/>
        <v>0</v>
      </c>
      <c r="CZ7" s="1">
        <f t="shared" si="3"/>
        <v>0</v>
      </c>
      <c r="DA7" s="1">
        <f t="shared" si="4"/>
        <v>0</v>
      </c>
      <c r="DB7" s="1">
        <f t="shared" si="5"/>
        <v>0</v>
      </c>
      <c r="DC7" s="1">
        <f t="shared" si="6"/>
        <v>0</v>
      </c>
      <c r="DP7" s="1" t="s">
        <v>35</v>
      </c>
      <c r="DQ7" s="1">
        <f>VLOOKUP("J/508/4583 - Exercise, Health and Lifestyle",RawScores,8,FALSE)</f>
        <v>72.5</v>
      </c>
      <c r="DR7" s="1">
        <v>33.333333333333336</v>
      </c>
      <c r="DS7" s="1">
        <v>0</v>
      </c>
    </row>
    <row r="8" spans="3:163" x14ac:dyDescent="0.3">
      <c r="E8" s="2" t="s">
        <v>36</v>
      </c>
      <c r="CV8" s="1" t="s">
        <v>37</v>
      </c>
      <c r="CW8" s="1">
        <f t="shared" si="0"/>
        <v>0</v>
      </c>
      <c r="CX8" s="1">
        <f t="shared" si="1"/>
        <v>0</v>
      </c>
      <c r="CY8" s="1">
        <f t="shared" si="2"/>
        <v>0</v>
      </c>
      <c r="CZ8" s="1">
        <f t="shared" si="3"/>
        <v>0</v>
      </c>
      <c r="DA8" s="1">
        <f t="shared" si="4"/>
        <v>0</v>
      </c>
      <c r="DB8" s="1">
        <f t="shared" si="5"/>
        <v>0</v>
      </c>
      <c r="DC8" s="1">
        <f t="shared" si="6"/>
        <v>0</v>
      </c>
      <c r="DP8" s="1" t="s">
        <v>38</v>
      </c>
      <c r="DQ8" s="1">
        <v>0</v>
      </c>
      <c r="DR8" s="1">
        <v>0</v>
      </c>
      <c r="DS8" s="1">
        <v>0</v>
      </c>
    </row>
    <row r="9" spans="3:163" x14ac:dyDescent="0.3">
      <c r="CV9" s="1" t="s">
        <v>39</v>
      </c>
      <c r="CW9" s="1">
        <f t="shared" si="0"/>
        <v>0</v>
      </c>
      <c r="CX9" s="1">
        <f t="shared" si="1"/>
        <v>0</v>
      </c>
      <c r="CY9" s="1">
        <f t="shared" si="2"/>
        <v>0</v>
      </c>
      <c r="CZ9" s="1">
        <f t="shared" si="3"/>
        <v>0</v>
      </c>
      <c r="DA9" s="1">
        <f t="shared" si="4"/>
        <v>0</v>
      </c>
      <c r="DB9" s="1">
        <f t="shared" si="5"/>
        <v>0</v>
      </c>
      <c r="DC9" s="1">
        <f t="shared" si="6"/>
        <v>0</v>
      </c>
      <c r="DP9" s="1" t="s">
        <v>40</v>
      </c>
      <c r="DQ9" s="1">
        <v>0</v>
      </c>
      <c r="DR9" s="1">
        <v>0</v>
      </c>
      <c r="DS9" s="1">
        <v>0</v>
      </c>
    </row>
    <row r="10" spans="3:163" x14ac:dyDescent="0.3">
      <c r="CV10" s="1" t="s">
        <v>41</v>
      </c>
      <c r="CW10" s="1">
        <f t="shared" si="0"/>
        <v>0</v>
      </c>
      <c r="CX10" s="1">
        <f t="shared" si="1"/>
        <v>0</v>
      </c>
      <c r="CY10" s="1">
        <f t="shared" si="2"/>
        <v>0</v>
      </c>
      <c r="CZ10" s="1">
        <f t="shared" si="3"/>
        <v>0</v>
      </c>
      <c r="DA10" s="1">
        <f t="shared" si="4"/>
        <v>0</v>
      </c>
      <c r="DB10" s="1">
        <f t="shared" si="5"/>
        <v>0</v>
      </c>
      <c r="DC10" s="1">
        <f t="shared" si="6"/>
        <v>0</v>
      </c>
      <c r="DP10" s="1" t="s">
        <v>42</v>
      </c>
      <c r="DQ10" s="1">
        <f>VLOOKUP("D/508/4637 - Preparing for a Career in Sport and Physical Activity",RawScores,5,FALSE)</f>
        <v>0</v>
      </c>
      <c r="DR10" s="1">
        <v>0</v>
      </c>
      <c r="DS10" s="1">
        <v>1</v>
      </c>
    </row>
    <row r="11" spans="3:163" x14ac:dyDescent="0.3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 t="shared" si="0"/>
        <v>0</v>
      </c>
      <c r="CX11" s="1">
        <f t="shared" si="1"/>
        <v>0</v>
      </c>
      <c r="CY11" s="1">
        <f t="shared" si="2"/>
        <v>0</v>
      </c>
      <c r="CZ11" s="1">
        <f t="shared" si="3"/>
        <v>0</v>
      </c>
      <c r="DA11" s="1">
        <f t="shared" si="4"/>
        <v>0</v>
      </c>
      <c r="DB11" s="1">
        <f t="shared" si="5"/>
        <v>0</v>
      </c>
      <c r="DC11" s="1">
        <f t="shared" si="6"/>
        <v>0</v>
      </c>
      <c r="DP11" s="1" t="s">
        <v>49</v>
      </c>
      <c r="DQ11" s="1">
        <f>VLOOKUP("D/508/4637 - Preparing for a Career in Sport and Physical Activity",RawScores,6,FALSE)</f>
        <v>50</v>
      </c>
      <c r="DR11" s="1">
        <v>33.333333333333336</v>
      </c>
      <c r="DS11" s="1">
        <v>0</v>
      </c>
    </row>
    <row r="12" spans="3:163" x14ac:dyDescent="0.3">
      <c r="C12" s="1">
        <v>1</v>
      </c>
      <c r="D12" s="1">
        <v>1</v>
      </c>
      <c r="E12" s="1" t="s">
        <v>21</v>
      </c>
      <c r="F12" s="4" t="s">
        <v>12</v>
      </c>
      <c r="G12" s="1" t="s">
        <v>50</v>
      </c>
      <c r="H12" s="1">
        <f t="shared" ref="H12:H42" si="7">VLOOKUP(E12 &amp; "_" &amp; F12, InternalAssessment, 2,FALSE)</f>
        <v>50</v>
      </c>
      <c r="I12" s="1">
        <f t="shared" ref="I12:I42" si="8">VLOOKUP(E12 &amp; "_" &amp; F12, InternalAssessment, 3,FALSE)</f>
        <v>33.333333333333336</v>
      </c>
      <c r="J12" s="1">
        <f t="shared" ref="J12:J42" si="9">VLOOKUP(E12 &amp; "_" &amp; F12, InternalAssessment, 4,FALSE)</f>
        <v>0</v>
      </c>
      <c r="CV12" s="1" t="s">
        <v>51</v>
      </c>
      <c r="CW12" s="1">
        <f t="shared" si="0"/>
        <v>0</v>
      </c>
      <c r="CX12" s="1">
        <f t="shared" si="1"/>
        <v>0</v>
      </c>
      <c r="CY12" s="1">
        <f t="shared" si="2"/>
        <v>0</v>
      </c>
      <c r="CZ12" s="1">
        <f t="shared" si="3"/>
        <v>0</v>
      </c>
      <c r="DA12" s="1">
        <f t="shared" si="4"/>
        <v>0</v>
      </c>
      <c r="DB12" s="1">
        <f t="shared" si="5"/>
        <v>0</v>
      </c>
      <c r="DC12" s="1">
        <f t="shared" si="6"/>
        <v>0</v>
      </c>
      <c r="DP12" s="1" t="s">
        <v>52</v>
      </c>
      <c r="DQ12" s="1">
        <f>VLOOKUP("D/508/4637 - Preparing for a Career in Sport and Physical Activity",RawScores,7,FALSE)</f>
        <v>60</v>
      </c>
      <c r="DR12" s="1">
        <v>33.333333333333336</v>
      </c>
      <c r="DS12" s="1">
        <v>0</v>
      </c>
    </row>
    <row r="13" spans="3:163" x14ac:dyDescent="0.3">
      <c r="C13" s="1">
        <v>1</v>
      </c>
      <c r="D13" s="1">
        <v>2</v>
      </c>
      <c r="E13" s="1" t="s">
        <v>23</v>
      </c>
      <c r="F13" s="4" t="s">
        <v>12</v>
      </c>
      <c r="G13" s="1" t="s">
        <v>50</v>
      </c>
      <c r="H13" s="1">
        <f t="shared" si="7"/>
        <v>50</v>
      </c>
      <c r="I13" s="1">
        <f t="shared" si="8"/>
        <v>33.333333333333336</v>
      </c>
      <c r="J13" s="1">
        <f t="shared" si="9"/>
        <v>0</v>
      </c>
      <c r="CV13" s="1" t="s">
        <v>53</v>
      </c>
      <c r="CW13" s="1">
        <f t="shared" si="0"/>
        <v>0</v>
      </c>
      <c r="CX13" s="1">
        <f t="shared" si="1"/>
        <v>0</v>
      </c>
      <c r="CY13" s="1">
        <f t="shared" si="2"/>
        <v>0</v>
      </c>
      <c r="CZ13" s="1">
        <f t="shared" si="3"/>
        <v>0</v>
      </c>
      <c r="DA13" s="1">
        <f t="shared" si="4"/>
        <v>0</v>
      </c>
      <c r="DB13" s="1">
        <f t="shared" si="5"/>
        <v>0</v>
      </c>
      <c r="DC13" s="1">
        <f t="shared" si="6"/>
        <v>0</v>
      </c>
      <c r="DP13" s="1" t="s">
        <v>54</v>
      </c>
      <c r="DQ13" s="1">
        <f>VLOOKUP("D/508/4637 - Preparing for a Career in Sport and Physical Activity",RawScores,8,FALSE)</f>
        <v>72.5</v>
      </c>
      <c r="DR13" s="1">
        <v>33.333333333333336</v>
      </c>
      <c r="DS13" s="1">
        <v>0</v>
      </c>
    </row>
    <row r="14" spans="3:163" x14ac:dyDescent="0.3">
      <c r="C14" s="1">
        <v>1</v>
      </c>
      <c r="D14" s="1">
        <v>3</v>
      </c>
      <c r="E14" s="1" t="s">
        <v>25</v>
      </c>
      <c r="F14" s="4" t="s">
        <v>12</v>
      </c>
      <c r="G14" s="1" t="s">
        <v>50</v>
      </c>
      <c r="H14" s="1">
        <f t="shared" si="7"/>
        <v>50</v>
      </c>
      <c r="I14" s="1">
        <f t="shared" si="8"/>
        <v>33.333333333333336</v>
      </c>
      <c r="J14" s="1">
        <f t="shared" si="9"/>
        <v>0</v>
      </c>
      <c r="CV14" s="1" t="s">
        <v>55</v>
      </c>
      <c r="CW14" s="1">
        <f t="shared" si="0"/>
        <v>0</v>
      </c>
      <c r="CX14" s="1">
        <f t="shared" si="1"/>
        <v>0</v>
      </c>
      <c r="CY14" s="1">
        <f t="shared" si="2"/>
        <v>0</v>
      </c>
      <c r="CZ14" s="1">
        <f t="shared" si="3"/>
        <v>0</v>
      </c>
      <c r="DA14" s="1">
        <f t="shared" si="4"/>
        <v>0</v>
      </c>
      <c r="DB14" s="1">
        <f t="shared" si="5"/>
        <v>0</v>
      </c>
      <c r="DC14" s="1">
        <f t="shared" si="6"/>
        <v>0</v>
      </c>
      <c r="DP14" s="1" t="s">
        <v>56</v>
      </c>
      <c r="DQ14" s="1">
        <v>0</v>
      </c>
      <c r="DR14" s="1">
        <v>0</v>
      </c>
      <c r="DS14" s="1">
        <v>0</v>
      </c>
    </row>
    <row r="15" spans="3:163" x14ac:dyDescent="0.3">
      <c r="C15" s="1">
        <v>2</v>
      </c>
      <c r="D15" s="1">
        <v>4</v>
      </c>
      <c r="E15" s="1" t="s">
        <v>28</v>
      </c>
      <c r="F15" s="4" t="s">
        <v>17</v>
      </c>
      <c r="G15" s="1" t="s">
        <v>57</v>
      </c>
      <c r="H15" s="1">
        <f t="shared" si="7"/>
        <v>0</v>
      </c>
      <c r="I15" s="1">
        <f t="shared" si="8"/>
        <v>0</v>
      </c>
      <c r="J15" s="1">
        <f t="shared" si="9"/>
        <v>0</v>
      </c>
      <c r="CV15" s="1" t="s">
        <v>58</v>
      </c>
      <c r="CW15" s="1">
        <f t="shared" si="0"/>
        <v>0</v>
      </c>
      <c r="CX15" s="1">
        <f t="shared" si="1"/>
        <v>0</v>
      </c>
      <c r="CY15" s="1">
        <f t="shared" si="2"/>
        <v>0</v>
      </c>
      <c r="CZ15" s="1">
        <f t="shared" si="3"/>
        <v>0</v>
      </c>
      <c r="DA15" s="1">
        <f t="shared" si="4"/>
        <v>0</v>
      </c>
      <c r="DB15" s="1">
        <f t="shared" si="5"/>
        <v>0</v>
      </c>
      <c r="DC15" s="1">
        <f t="shared" si="6"/>
        <v>0</v>
      </c>
      <c r="DP15" s="1" t="s">
        <v>59</v>
      </c>
      <c r="DQ15" s="1">
        <v>0</v>
      </c>
      <c r="DR15" s="1">
        <v>0</v>
      </c>
      <c r="DS15" s="1">
        <v>0</v>
      </c>
    </row>
    <row r="16" spans="3:163" x14ac:dyDescent="0.3">
      <c r="C16" s="1">
        <v>2</v>
      </c>
      <c r="D16" s="1">
        <v>5</v>
      </c>
      <c r="E16" s="1" t="s">
        <v>31</v>
      </c>
      <c r="F16" s="4" t="s">
        <v>17</v>
      </c>
      <c r="G16" s="1" t="s">
        <v>57</v>
      </c>
      <c r="H16" s="1">
        <f t="shared" si="7"/>
        <v>0</v>
      </c>
      <c r="I16" s="1">
        <f t="shared" si="8"/>
        <v>0</v>
      </c>
      <c r="J16" s="1">
        <f t="shared" si="9"/>
        <v>0</v>
      </c>
      <c r="CV16" s="1" t="s">
        <v>60</v>
      </c>
      <c r="CW16" s="1">
        <f t="shared" si="0"/>
        <v>0</v>
      </c>
      <c r="CX16" s="1">
        <f t="shared" si="1"/>
        <v>0</v>
      </c>
      <c r="CY16" s="1">
        <f t="shared" si="2"/>
        <v>0</v>
      </c>
      <c r="CZ16" s="1">
        <f t="shared" si="3"/>
        <v>0</v>
      </c>
      <c r="DA16" s="1">
        <f t="shared" si="4"/>
        <v>0</v>
      </c>
      <c r="DB16" s="1">
        <f t="shared" si="5"/>
        <v>0</v>
      </c>
      <c r="DC16" s="1">
        <f t="shared" si="6"/>
        <v>0</v>
      </c>
      <c r="DP16" s="1" t="s">
        <v>61</v>
      </c>
      <c r="DQ16" s="1">
        <f>VLOOKUP("D/508/4122 - Sports Coaching",RawScores,5,FALSE)</f>
        <v>0</v>
      </c>
      <c r="DR16" s="1">
        <v>0</v>
      </c>
      <c r="DS16" s="1">
        <v>1</v>
      </c>
    </row>
    <row r="17" spans="3:123" x14ac:dyDescent="0.3">
      <c r="C17" s="1">
        <v>2</v>
      </c>
      <c r="D17" s="1">
        <v>6</v>
      </c>
      <c r="E17" s="1" t="s">
        <v>34</v>
      </c>
      <c r="F17" s="4" t="s">
        <v>17</v>
      </c>
      <c r="G17" s="1" t="s">
        <v>57</v>
      </c>
      <c r="H17" s="1">
        <f t="shared" si="7"/>
        <v>0</v>
      </c>
      <c r="I17" s="1">
        <f t="shared" si="8"/>
        <v>0</v>
      </c>
      <c r="J17" s="1">
        <f t="shared" si="9"/>
        <v>0</v>
      </c>
      <c r="CV17" s="1" t="s">
        <v>62</v>
      </c>
      <c r="CW17" s="1">
        <f t="shared" si="0"/>
        <v>0</v>
      </c>
      <c r="CX17" s="1">
        <f t="shared" si="1"/>
        <v>0</v>
      </c>
      <c r="CY17" s="1">
        <f t="shared" si="2"/>
        <v>0</v>
      </c>
      <c r="CZ17" s="1">
        <f t="shared" si="3"/>
        <v>0</v>
      </c>
      <c r="DA17" s="1">
        <f t="shared" si="4"/>
        <v>0</v>
      </c>
      <c r="DB17" s="1">
        <f t="shared" si="5"/>
        <v>0</v>
      </c>
      <c r="DC17" s="1">
        <f t="shared" si="6"/>
        <v>0</v>
      </c>
      <c r="DP17" s="1" t="s">
        <v>63</v>
      </c>
      <c r="DQ17" s="1">
        <f>VLOOKUP("D/508/4122 - Sports Coaching",RawScores,6,FALSE)</f>
        <v>50</v>
      </c>
      <c r="DR17" s="1">
        <v>33.333333333333336</v>
      </c>
      <c r="DS17" s="1">
        <v>0</v>
      </c>
    </row>
    <row r="18" spans="3:123" x14ac:dyDescent="0.3">
      <c r="C18" s="1">
        <v>2</v>
      </c>
      <c r="D18" s="1">
        <v>7</v>
      </c>
      <c r="E18" s="1" t="s">
        <v>37</v>
      </c>
      <c r="F18" s="4" t="s">
        <v>17</v>
      </c>
      <c r="G18" s="1" t="s">
        <v>57</v>
      </c>
      <c r="H18" s="1">
        <f t="shared" si="7"/>
        <v>0</v>
      </c>
      <c r="I18" s="1">
        <f t="shared" si="8"/>
        <v>0</v>
      </c>
      <c r="J18" s="1">
        <f t="shared" si="9"/>
        <v>0</v>
      </c>
      <c r="CV18" s="1" t="s">
        <v>64</v>
      </c>
      <c r="CW18" s="1">
        <f t="shared" si="0"/>
        <v>0</v>
      </c>
      <c r="CX18" s="1">
        <f t="shared" si="1"/>
        <v>0</v>
      </c>
      <c r="CY18" s="1">
        <f t="shared" si="2"/>
        <v>0</v>
      </c>
      <c r="CZ18" s="1">
        <f t="shared" si="3"/>
        <v>0</v>
      </c>
      <c r="DA18" s="1">
        <f t="shared" si="4"/>
        <v>0</v>
      </c>
      <c r="DB18" s="1">
        <f t="shared" si="5"/>
        <v>0</v>
      </c>
      <c r="DC18" s="1">
        <f t="shared" si="6"/>
        <v>0</v>
      </c>
      <c r="DP18" s="1" t="s">
        <v>65</v>
      </c>
      <c r="DQ18" s="1">
        <f>VLOOKUP("D/508/4122 - Sports Coaching",RawScores,7,FALSE)</f>
        <v>60</v>
      </c>
      <c r="DR18" s="1">
        <v>33.333333333333336</v>
      </c>
      <c r="DS18" s="1">
        <v>0</v>
      </c>
    </row>
    <row r="19" spans="3:123" x14ac:dyDescent="0.3">
      <c r="C19" s="1">
        <v>2</v>
      </c>
      <c r="D19" s="1">
        <v>8</v>
      </c>
      <c r="E19" s="1" t="s">
        <v>39</v>
      </c>
      <c r="F19" s="4" t="s">
        <v>17</v>
      </c>
      <c r="G19" s="1" t="s">
        <v>57</v>
      </c>
      <c r="H19" s="1">
        <f t="shared" si="7"/>
        <v>0</v>
      </c>
      <c r="I19" s="1">
        <f t="shared" si="8"/>
        <v>0</v>
      </c>
      <c r="J19" s="1">
        <f t="shared" si="9"/>
        <v>0</v>
      </c>
      <c r="CV19" s="1" t="s">
        <v>66</v>
      </c>
      <c r="CW19" s="1">
        <f t="shared" si="0"/>
        <v>0</v>
      </c>
      <c r="CX19" s="1">
        <f t="shared" si="1"/>
        <v>0</v>
      </c>
      <c r="CY19" s="1">
        <f t="shared" si="2"/>
        <v>0</v>
      </c>
      <c r="CZ19" s="1">
        <f t="shared" si="3"/>
        <v>0</v>
      </c>
      <c r="DA19" s="1">
        <f t="shared" si="4"/>
        <v>0</v>
      </c>
      <c r="DB19" s="1">
        <f t="shared" si="5"/>
        <v>0</v>
      </c>
      <c r="DC19" s="1">
        <f t="shared" si="6"/>
        <v>0</v>
      </c>
      <c r="DP19" s="1" t="s">
        <v>67</v>
      </c>
      <c r="DQ19" s="1">
        <f>VLOOKUP("D/508/4122 - Sports Coaching",RawScores,8,FALSE)</f>
        <v>72.5</v>
      </c>
      <c r="DR19" s="1">
        <v>33.333333333333336</v>
      </c>
      <c r="DS19" s="1">
        <v>0</v>
      </c>
    </row>
    <row r="20" spans="3:123" x14ac:dyDescent="0.3">
      <c r="C20" s="1">
        <v>2</v>
      </c>
      <c r="D20" s="1">
        <v>9</v>
      </c>
      <c r="E20" s="1" t="s">
        <v>41</v>
      </c>
      <c r="F20" s="4" t="s">
        <v>17</v>
      </c>
      <c r="G20" s="1" t="s">
        <v>57</v>
      </c>
      <c r="H20" s="1">
        <f t="shared" si="7"/>
        <v>0</v>
      </c>
      <c r="I20" s="1">
        <f t="shared" si="8"/>
        <v>0</v>
      </c>
      <c r="J20" s="1">
        <f t="shared" si="9"/>
        <v>0</v>
      </c>
      <c r="CV20" s="1" t="s">
        <v>68</v>
      </c>
      <c r="CW20" s="1">
        <f t="shared" si="0"/>
        <v>0</v>
      </c>
      <c r="CX20" s="1">
        <f t="shared" si="1"/>
        <v>0</v>
      </c>
      <c r="CY20" s="1">
        <f t="shared" si="2"/>
        <v>0</v>
      </c>
      <c r="CZ20" s="1">
        <f t="shared" si="3"/>
        <v>0</v>
      </c>
      <c r="DA20" s="1">
        <f t="shared" si="4"/>
        <v>0</v>
      </c>
      <c r="DB20" s="1">
        <f t="shared" si="5"/>
        <v>0</v>
      </c>
      <c r="DC20" s="1">
        <f t="shared" si="6"/>
        <v>0</v>
      </c>
      <c r="DP20" s="1" t="s">
        <v>69</v>
      </c>
      <c r="DQ20" s="1">
        <v>0</v>
      </c>
      <c r="DR20" s="1">
        <v>0</v>
      </c>
      <c r="DS20" s="1">
        <v>0</v>
      </c>
    </row>
    <row r="21" spans="3:123" x14ac:dyDescent="0.3">
      <c r="C21" s="1">
        <v>2</v>
      </c>
      <c r="D21" s="1">
        <v>10</v>
      </c>
      <c r="E21" s="1" t="s">
        <v>48</v>
      </c>
      <c r="F21" s="4" t="s">
        <v>17</v>
      </c>
      <c r="G21" s="1" t="s">
        <v>57</v>
      </c>
      <c r="H21" s="1">
        <f t="shared" si="7"/>
        <v>0</v>
      </c>
      <c r="I21" s="1">
        <f t="shared" si="8"/>
        <v>0</v>
      </c>
      <c r="J21" s="1">
        <f t="shared" si="9"/>
        <v>0</v>
      </c>
      <c r="CV21" s="1" t="s">
        <v>70</v>
      </c>
      <c r="CW21" s="1">
        <f t="shared" si="0"/>
        <v>0</v>
      </c>
      <c r="CX21" s="1">
        <f t="shared" si="1"/>
        <v>0</v>
      </c>
      <c r="CY21" s="1">
        <f t="shared" si="2"/>
        <v>0</v>
      </c>
      <c r="CZ21" s="1">
        <f t="shared" si="3"/>
        <v>0</v>
      </c>
      <c r="DA21" s="1">
        <f t="shared" si="4"/>
        <v>0</v>
      </c>
      <c r="DB21" s="1">
        <f t="shared" si="5"/>
        <v>0</v>
      </c>
      <c r="DC21" s="1">
        <f t="shared" si="6"/>
        <v>0</v>
      </c>
      <c r="DP21" s="1" t="s">
        <v>71</v>
      </c>
      <c r="DQ21" s="1">
        <v>0</v>
      </c>
      <c r="DR21" s="1">
        <v>0</v>
      </c>
      <c r="DS21" s="1">
        <v>0</v>
      </c>
    </row>
    <row r="22" spans="3:123" x14ac:dyDescent="0.3">
      <c r="C22" s="1">
        <v>2</v>
      </c>
      <c r="D22" s="1">
        <v>11</v>
      </c>
      <c r="E22" s="1" t="s">
        <v>51</v>
      </c>
      <c r="F22" s="4" t="s">
        <v>17</v>
      </c>
      <c r="G22" s="1" t="s">
        <v>57</v>
      </c>
      <c r="H22" s="1">
        <f t="shared" si="7"/>
        <v>0</v>
      </c>
      <c r="I22" s="1">
        <f t="shared" si="8"/>
        <v>0</v>
      </c>
      <c r="J22" s="1">
        <f t="shared" si="9"/>
        <v>0</v>
      </c>
      <c r="CV22" s="1" t="s">
        <v>72</v>
      </c>
      <c r="CW22" s="1">
        <f t="shared" si="0"/>
        <v>0</v>
      </c>
      <c r="CX22" s="1">
        <f t="shared" si="1"/>
        <v>0</v>
      </c>
      <c r="CY22" s="1">
        <f t="shared" si="2"/>
        <v>0</v>
      </c>
      <c r="CZ22" s="1">
        <f t="shared" si="3"/>
        <v>0</v>
      </c>
      <c r="DA22" s="1">
        <f t="shared" si="4"/>
        <v>0</v>
      </c>
      <c r="DB22" s="1">
        <f t="shared" si="5"/>
        <v>0</v>
      </c>
      <c r="DC22" s="1">
        <f t="shared" si="6"/>
        <v>0</v>
      </c>
      <c r="DP22" s="1" t="s">
        <v>73</v>
      </c>
      <c r="DQ22" s="1">
        <f>VLOOKUP("D/508/4587 - Practical Team Sports",RawScores,5,FALSE)</f>
        <v>0</v>
      </c>
      <c r="DR22" s="1">
        <v>0</v>
      </c>
      <c r="DS22" s="1">
        <v>1</v>
      </c>
    </row>
    <row r="23" spans="3:123" x14ac:dyDescent="0.3">
      <c r="C23" s="1">
        <v>2</v>
      </c>
      <c r="D23" s="1">
        <v>12</v>
      </c>
      <c r="E23" s="1" t="s">
        <v>53</v>
      </c>
      <c r="F23" s="4" t="s">
        <v>17</v>
      </c>
      <c r="G23" s="1" t="s">
        <v>57</v>
      </c>
      <c r="H23" s="1">
        <f t="shared" si="7"/>
        <v>0</v>
      </c>
      <c r="I23" s="1">
        <f t="shared" si="8"/>
        <v>0</v>
      </c>
      <c r="J23" s="1">
        <f t="shared" si="9"/>
        <v>0</v>
      </c>
      <c r="CV23" s="1" t="s">
        <v>74</v>
      </c>
      <c r="CW23" s="1">
        <f t="shared" si="0"/>
        <v>0</v>
      </c>
      <c r="CX23" s="1">
        <f t="shared" si="1"/>
        <v>0</v>
      </c>
      <c r="CY23" s="1">
        <f t="shared" si="2"/>
        <v>0</v>
      </c>
      <c r="CZ23" s="1">
        <f t="shared" si="3"/>
        <v>0</v>
      </c>
      <c r="DA23" s="1">
        <f t="shared" si="4"/>
        <v>0</v>
      </c>
      <c r="DB23" s="1">
        <f t="shared" si="5"/>
        <v>0</v>
      </c>
      <c r="DC23" s="1">
        <f t="shared" si="6"/>
        <v>0</v>
      </c>
      <c r="DP23" s="1" t="s">
        <v>75</v>
      </c>
      <c r="DQ23" s="1">
        <f>VLOOKUP("D/508/4587 - Practical Team Sports",RawScores,6,FALSE)</f>
        <v>0</v>
      </c>
      <c r="DR23" s="1">
        <v>33.333333333333336</v>
      </c>
      <c r="DS23" s="1">
        <v>0</v>
      </c>
    </row>
    <row r="24" spans="3:123" x14ac:dyDescent="0.3">
      <c r="C24" s="1">
        <v>2</v>
      </c>
      <c r="D24" s="1">
        <v>13</v>
      </c>
      <c r="E24" s="1" t="s">
        <v>55</v>
      </c>
      <c r="F24" s="4" t="s">
        <v>17</v>
      </c>
      <c r="G24" s="1" t="s">
        <v>57</v>
      </c>
      <c r="H24" s="1">
        <f t="shared" si="7"/>
        <v>0</v>
      </c>
      <c r="I24" s="1">
        <f t="shared" si="8"/>
        <v>0</v>
      </c>
      <c r="J24" s="1">
        <f t="shared" si="9"/>
        <v>0</v>
      </c>
      <c r="CV24" s="1" t="s">
        <v>76</v>
      </c>
      <c r="CW24" s="1">
        <f t="shared" si="0"/>
        <v>0</v>
      </c>
      <c r="CX24" s="1">
        <f t="shared" si="1"/>
        <v>0</v>
      </c>
      <c r="CY24" s="1">
        <f t="shared" si="2"/>
        <v>0</v>
      </c>
      <c r="CZ24" s="1">
        <f t="shared" si="3"/>
        <v>0</v>
      </c>
      <c r="DA24" s="1">
        <f t="shared" si="4"/>
        <v>0</v>
      </c>
      <c r="DB24" s="1">
        <f t="shared" si="5"/>
        <v>0</v>
      </c>
      <c r="DC24" s="1">
        <f t="shared" si="6"/>
        <v>0</v>
      </c>
      <c r="DP24" s="1" t="s">
        <v>77</v>
      </c>
      <c r="DQ24" s="1">
        <f>VLOOKUP("D/508/4587 - Practical Team Sports",RawScores,7,FALSE)</f>
        <v>0</v>
      </c>
      <c r="DR24" s="1">
        <v>33.333333333333336</v>
      </c>
      <c r="DS24" s="1">
        <v>0</v>
      </c>
    </row>
    <row r="25" spans="3:123" x14ac:dyDescent="0.3">
      <c r="C25" s="1">
        <v>2</v>
      </c>
      <c r="D25" s="1">
        <v>14</v>
      </c>
      <c r="E25" s="1" t="s">
        <v>58</v>
      </c>
      <c r="F25" s="4" t="s">
        <v>17</v>
      </c>
      <c r="G25" s="1" t="s">
        <v>57</v>
      </c>
      <c r="H25" s="1">
        <f t="shared" si="7"/>
        <v>0</v>
      </c>
      <c r="I25" s="1">
        <f t="shared" si="8"/>
        <v>0</v>
      </c>
      <c r="J25" s="1">
        <f t="shared" si="9"/>
        <v>0</v>
      </c>
      <c r="CV25" s="1" t="s">
        <v>78</v>
      </c>
      <c r="CW25" s="1">
        <f t="shared" si="0"/>
        <v>0</v>
      </c>
      <c r="CX25" s="1">
        <f t="shared" si="1"/>
        <v>0</v>
      </c>
      <c r="CY25" s="1">
        <f t="shared" si="2"/>
        <v>0</v>
      </c>
      <c r="CZ25" s="1">
        <f t="shared" si="3"/>
        <v>0</v>
      </c>
      <c r="DA25" s="1">
        <f t="shared" si="4"/>
        <v>0</v>
      </c>
      <c r="DB25" s="1">
        <f t="shared" si="5"/>
        <v>0</v>
      </c>
      <c r="DC25" s="1">
        <f t="shared" si="6"/>
        <v>0</v>
      </c>
      <c r="DP25" s="1" t="s">
        <v>79</v>
      </c>
      <c r="DQ25" s="1">
        <f>VLOOKUP("D/508/4587 - Practical Team Sports",RawScores,8,FALSE)</f>
        <v>0</v>
      </c>
      <c r="DR25" s="1">
        <v>33.333333333333336</v>
      </c>
      <c r="DS25" s="1">
        <v>0</v>
      </c>
    </row>
    <row r="26" spans="3:123" x14ac:dyDescent="0.3">
      <c r="C26" s="1">
        <v>2</v>
      </c>
      <c r="D26" s="1">
        <v>15</v>
      </c>
      <c r="E26" s="1" t="s">
        <v>60</v>
      </c>
      <c r="F26" s="4" t="s">
        <v>17</v>
      </c>
      <c r="G26" s="1" t="s">
        <v>57</v>
      </c>
      <c r="H26" s="1">
        <f t="shared" si="7"/>
        <v>0</v>
      </c>
      <c r="I26" s="1">
        <f t="shared" si="8"/>
        <v>0</v>
      </c>
      <c r="J26" s="1">
        <f t="shared" si="9"/>
        <v>0</v>
      </c>
      <c r="CV26" s="1" t="s">
        <v>80</v>
      </c>
      <c r="CW26" s="1">
        <f t="shared" si="0"/>
        <v>0</v>
      </c>
      <c r="CX26" s="1">
        <f t="shared" si="1"/>
        <v>0</v>
      </c>
      <c r="CY26" s="1">
        <f t="shared" si="2"/>
        <v>0</v>
      </c>
      <c r="CZ26" s="1">
        <f t="shared" si="3"/>
        <v>0</v>
      </c>
      <c r="DA26" s="1">
        <f t="shared" si="4"/>
        <v>0</v>
      </c>
      <c r="DB26" s="1">
        <f t="shared" si="5"/>
        <v>0</v>
      </c>
      <c r="DC26" s="1">
        <f t="shared" si="6"/>
        <v>0</v>
      </c>
      <c r="DP26" s="1" t="s">
        <v>81</v>
      </c>
      <c r="DQ26" s="1">
        <v>0</v>
      </c>
      <c r="DR26" s="1">
        <v>0</v>
      </c>
      <c r="DS26" s="1">
        <v>0</v>
      </c>
    </row>
    <row r="27" spans="3:123" x14ac:dyDescent="0.3">
      <c r="C27" s="1">
        <v>2</v>
      </c>
      <c r="D27" s="1">
        <v>16</v>
      </c>
      <c r="E27" s="1" t="s">
        <v>62</v>
      </c>
      <c r="F27" s="4" t="s">
        <v>17</v>
      </c>
      <c r="G27" s="1" t="s">
        <v>57</v>
      </c>
      <c r="H27" s="1">
        <f t="shared" si="7"/>
        <v>0</v>
      </c>
      <c r="I27" s="1">
        <f t="shared" si="8"/>
        <v>0</v>
      </c>
      <c r="J27" s="1">
        <f t="shared" si="9"/>
        <v>0</v>
      </c>
      <c r="CV27" s="1" t="s">
        <v>82</v>
      </c>
      <c r="CW27" s="1">
        <f t="shared" si="0"/>
        <v>0</v>
      </c>
      <c r="CX27" s="1">
        <f t="shared" si="1"/>
        <v>0</v>
      </c>
      <c r="CY27" s="1">
        <f t="shared" si="2"/>
        <v>0</v>
      </c>
      <c r="CZ27" s="1">
        <f t="shared" si="3"/>
        <v>0</v>
      </c>
      <c r="DA27" s="1">
        <f t="shared" si="4"/>
        <v>0</v>
      </c>
      <c r="DB27" s="1">
        <f t="shared" si="5"/>
        <v>0</v>
      </c>
      <c r="DC27" s="1">
        <f t="shared" si="6"/>
        <v>0</v>
      </c>
      <c r="DP27" s="1" t="s">
        <v>83</v>
      </c>
      <c r="DQ27" s="1">
        <v>0</v>
      </c>
      <c r="DR27" s="1">
        <v>0</v>
      </c>
      <c r="DS27" s="1">
        <v>0</v>
      </c>
    </row>
    <row r="28" spans="3:123" x14ac:dyDescent="0.3">
      <c r="C28" s="1">
        <v>2</v>
      </c>
      <c r="D28" s="1">
        <v>17</v>
      </c>
      <c r="E28" s="1" t="s">
        <v>64</v>
      </c>
      <c r="F28" s="4" t="s">
        <v>17</v>
      </c>
      <c r="G28" s="1" t="s">
        <v>57</v>
      </c>
      <c r="H28" s="1">
        <f t="shared" si="7"/>
        <v>0</v>
      </c>
      <c r="I28" s="1">
        <f t="shared" si="8"/>
        <v>0</v>
      </c>
      <c r="J28" s="1">
        <f t="shared" si="9"/>
        <v>0</v>
      </c>
      <c r="CV28" s="1" t="s">
        <v>84</v>
      </c>
      <c r="CW28" s="1">
        <f t="shared" si="0"/>
        <v>0</v>
      </c>
      <c r="CX28" s="1">
        <f t="shared" si="1"/>
        <v>0</v>
      </c>
      <c r="CY28" s="1">
        <f t="shared" si="2"/>
        <v>0</v>
      </c>
      <c r="CZ28" s="1">
        <f t="shared" si="3"/>
        <v>0</v>
      </c>
      <c r="DA28" s="1">
        <f t="shared" si="4"/>
        <v>0</v>
      </c>
      <c r="DB28" s="1">
        <f t="shared" si="5"/>
        <v>0</v>
      </c>
      <c r="DC28" s="1">
        <f t="shared" si="6"/>
        <v>0</v>
      </c>
      <c r="DP28" s="1" t="s">
        <v>85</v>
      </c>
      <c r="DQ28" s="1">
        <f>VLOOKUP("H/508/4588 - Practical Individual Sports",RawScores,5,FALSE)</f>
        <v>0</v>
      </c>
      <c r="DR28" s="1">
        <v>0</v>
      </c>
      <c r="DS28" s="1">
        <v>1</v>
      </c>
    </row>
    <row r="29" spans="3:123" x14ac:dyDescent="0.3">
      <c r="C29" s="1">
        <v>2</v>
      </c>
      <c r="D29" s="1">
        <v>18</v>
      </c>
      <c r="E29" s="1" t="s">
        <v>66</v>
      </c>
      <c r="F29" s="4" t="s">
        <v>17</v>
      </c>
      <c r="G29" s="1" t="s">
        <v>57</v>
      </c>
      <c r="H29" s="1">
        <f t="shared" si="7"/>
        <v>0</v>
      </c>
      <c r="I29" s="1">
        <f t="shared" si="8"/>
        <v>0</v>
      </c>
      <c r="J29" s="1">
        <f t="shared" si="9"/>
        <v>0</v>
      </c>
      <c r="CV29" s="1" t="s">
        <v>86</v>
      </c>
      <c r="CW29" s="1">
        <f t="shared" si="0"/>
        <v>0</v>
      </c>
      <c r="CX29" s="1">
        <f t="shared" si="1"/>
        <v>0</v>
      </c>
      <c r="CY29" s="1">
        <f t="shared" si="2"/>
        <v>0</v>
      </c>
      <c r="CZ29" s="1">
        <f t="shared" si="3"/>
        <v>0</v>
      </c>
      <c r="DA29" s="1">
        <f t="shared" si="4"/>
        <v>0</v>
      </c>
      <c r="DB29" s="1">
        <f t="shared" si="5"/>
        <v>0</v>
      </c>
      <c r="DC29" s="1">
        <f t="shared" si="6"/>
        <v>0</v>
      </c>
      <c r="DP29" s="1" t="s">
        <v>87</v>
      </c>
      <c r="DQ29" s="1">
        <f>VLOOKUP("H/508/4588 - Practical Individual Sports",RawScores,6,FALSE)</f>
        <v>0</v>
      </c>
      <c r="DR29" s="1">
        <v>33.333333333333336</v>
      </c>
      <c r="DS29" s="1">
        <v>0</v>
      </c>
    </row>
    <row r="30" spans="3:123" x14ac:dyDescent="0.3">
      <c r="C30" s="1">
        <v>2</v>
      </c>
      <c r="D30" s="1">
        <v>19</v>
      </c>
      <c r="E30" s="1" t="s">
        <v>68</v>
      </c>
      <c r="F30" s="4" t="s">
        <v>17</v>
      </c>
      <c r="G30" s="1" t="s">
        <v>57</v>
      </c>
      <c r="H30" s="1">
        <f t="shared" si="7"/>
        <v>0</v>
      </c>
      <c r="I30" s="1">
        <f t="shared" si="8"/>
        <v>0</v>
      </c>
      <c r="J30" s="1">
        <f t="shared" si="9"/>
        <v>0</v>
      </c>
      <c r="CV30" s="1" t="s">
        <v>88</v>
      </c>
      <c r="CW30" s="1">
        <f t="shared" si="0"/>
        <v>60</v>
      </c>
      <c r="CX30" s="1">
        <f t="shared" si="1"/>
        <v>0.16666666666666666</v>
      </c>
      <c r="CY30" s="1">
        <f t="shared" si="2"/>
        <v>100</v>
      </c>
      <c r="CZ30" s="1">
        <f t="shared" si="3"/>
        <v>0</v>
      </c>
      <c r="DA30" s="1">
        <f t="shared" si="4"/>
        <v>50</v>
      </c>
      <c r="DB30" s="1">
        <f t="shared" si="5"/>
        <v>60</v>
      </c>
      <c r="DC30" s="1">
        <f t="shared" si="6"/>
        <v>72.5</v>
      </c>
      <c r="DP30" s="1" t="s">
        <v>89</v>
      </c>
      <c r="DQ30" s="1">
        <f>VLOOKUP("H/508/4588 - Practical Individual Sports",RawScores,7,FALSE)</f>
        <v>0</v>
      </c>
      <c r="DR30" s="1">
        <v>33.333333333333336</v>
      </c>
      <c r="DS30" s="1">
        <v>0</v>
      </c>
    </row>
    <row r="31" spans="3:123" x14ac:dyDescent="0.3">
      <c r="C31" s="1">
        <v>2</v>
      </c>
      <c r="D31" s="1">
        <v>20</v>
      </c>
      <c r="E31" s="1" t="s">
        <v>70</v>
      </c>
      <c r="F31" s="4" t="s">
        <v>17</v>
      </c>
      <c r="G31" s="1" t="s">
        <v>57</v>
      </c>
      <c r="H31" s="1">
        <f t="shared" si="7"/>
        <v>0</v>
      </c>
      <c r="I31" s="1">
        <f t="shared" si="8"/>
        <v>0</v>
      </c>
      <c r="J31" s="1">
        <f t="shared" si="9"/>
        <v>0</v>
      </c>
      <c r="CV31" s="1" t="s">
        <v>90</v>
      </c>
      <c r="CW31" s="1">
        <f t="shared" si="0"/>
        <v>60</v>
      </c>
      <c r="CX31" s="1">
        <f t="shared" si="1"/>
        <v>0.16666666666666666</v>
      </c>
      <c r="CY31" s="1">
        <f t="shared" si="2"/>
        <v>100</v>
      </c>
      <c r="CZ31" s="1">
        <f t="shared" si="3"/>
        <v>0</v>
      </c>
      <c r="DA31" s="1">
        <f t="shared" si="4"/>
        <v>50</v>
      </c>
      <c r="DB31" s="1">
        <f t="shared" si="5"/>
        <v>60</v>
      </c>
      <c r="DC31" s="1">
        <f t="shared" si="6"/>
        <v>72.5</v>
      </c>
      <c r="DP31" s="1" t="s">
        <v>91</v>
      </c>
      <c r="DQ31" s="1">
        <f>VLOOKUP("H/508/4588 - Practical Individual Sports",RawScores,8,FALSE)</f>
        <v>0</v>
      </c>
      <c r="DR31" s="1">
        <v>33.333333333333336</v>
      </c>
      <c r="DS31" s="1">
        <v>0</v>
      </c>
    </row>
    <row r="32" spans="3:123" x14ac:dyDescent="0.3">
      <c r="C32" s="1">
        <v>2</v>
      </c>
      <c r="D32" s="1">
        <v>21</v>
      </c>
      <c r="E32" s="1" t="s">
        <v>72</v>
      </c>
      <c r="F32" s="4" t="s">
        <v>17</v>
      </c>
      <c r="G32" s="1" t="s">
        <v>57</v>
      </c>
      <c r="H32" s="1">
        <f t="shared" si="7"/>
        <v>0</v>
      </c>
      <c r="I32" s="1">
        <f t="shared" si="8"/>
        <v>0</v>
      </c>
      <c r="J32" s="1">
        <f t="shared" si="9"/>
        <v>0</v>
      </c>
      <c r="CV32" s="1" t="s">
        <v>92</v>
      </c>
      <c r="CW32" s="1">
        <f t="shared" si="0"/>
        <v>60</v>
      </c>
      <c r="CX32" s="1">
        <f t="shared" si="1"/>
        <v>0.16666666666666666</v>
      </c>
      <c r="CY32" s="1">
        <f t="shared" si="2"/>
        <v>100</v>
      </c>
      <c r="CZ32" s="1">
        <f t="shared" si="3"/>
        <v>0</v>
      </c>
      <c r="DA32" s="1">
        <f t="shared" si="4"/>
        <v>50</v>
      </c>
      <c r="DB32" s="1">
        <f t="shared" si="5"/>
        <v>60</v>
      </c>
      <c r="DC32" s="1">
        <f t="shared" si="6"/>
        <v>72.5</v>
      </c>
      <c r="DP32" s="1" t="s">
        <v>93</v>
      </c>
      <c r="DQ32" s="1">
        <v>0</v>
      </c>
      <c r="DR32" s="1">
        <v>0</v>
      </c>
      <c r="DS32" s="1">
        <v>0</v>
      </c>
    </row>
    <row r="33" spans="3:123" x14ac:dyDescent="0.3">
      <c r="C33" s="1">
        <v>2</v>
      </c>
      <c r="D33" s="1">
        <v>22</v>
      </c>
      <c r="E33" s="1" t="s">
        <v>74</v>
      </c>
      <c r="F33" s="4" t="s">
        <v>17</v>
      </c>
      <c r="G33" s="1" t="s">
        <v>57</v>
      </c>
      <c r="H33" s="1">
        <f t="shared" si="7"/>
        <v>0</v>
      </c>
      <c r="I33" s="1">
        <f t="shared" si="8"/>
        <v>0</v>
      </c>
      <c r="J33" s="1">
        <f t="shared" si="9"/>
        <v>0</v>
      </c>
      <c r="CW33" s="1">
        <f>SUM(CW2:CW32)</f>
        <v>360</v>
      </c>
      <c r="DP33" s="1" t="s">
        <v>94</v>
      </c>
      <c r="DQ33" s="1">
        <v>0</v>
      </c>
      <c r="DR33" s="1">
        <v>0</v>
      </c>
      <c r="DS33" s="1">
        <v>0</v>
      </c>
    </row>
    <row r="34" spans="3:123" x14ac:dyDescent="0.3">
      <c r="C34" s="1">
        <v>2</v>
      </c>
      <c r="D34" s="1">
        <v>23</v>
      </c>
      <c r="E34" s="1" t="s">
        <v>76</v>
      </c>
      <c r="F34" s="4" t="s">
        <v>17</v>
      </c>
      <c r="G34" s="1" t="s">
        <v>57</v>
      </c>
      <c r="H34" s="1">
        <f t="shared" si="7"/>
        <v>0</v>
      </c>
      <c r="I34" s="1">
        <f t="shared" si="8"/>
        <v>0</v>
      </c>
      <c r="J34" s="1">
        <f t="shared" si="9"/>
        <v>0</v>
      </c>
      <c r="DP34" s="1" t="s">
        <v>95</v>
      </c>
      <c r="DQ34" s="1">
        <f>VLOOKUP("R/508/4635 - Coaching Special Populations",RawScores,5,FALSE)</f>
        <v>0</v>
      </c>
      <c r="DR34" s="1">
        <v>0</v>
      </c>
      <c r="DS34" s="1">
        <v>1</v>
      </c>
    </row>
    <row r="35" spans="3:123" x14ac:dyDescent="0.3">
      <c r="C35" s="1">
        <v>2</v>
      </c>
      <c r="D35" s="1">
        <v>24</v>
      </c>
      <c r="E35" s="1" t="s">
        <v>78</v>
      </c>
      <c r="F35" s="4" t="s">
        <v>17</v>
      </c>
      <c r="G35" s="1" t="s">
        <v>57</v>
      </c>
      <c r="H35" s="1">
        <f t="shared" si="7"/>
        <v>0</v>
      </c>
      <c r="I35" s="1">
        <f t="shared" si="8"/>
        <v>0</v>
      </c>
      <c r="J35" s="1">
        <f t="shared" si="9"/>
        <v>0</v>
      </c>
      <c r="DP35" s="1" t="s">
        <v>96</v>
      </c>
      <c r="DQ35" s="1">
        <f>VLOOKUP("R/508/4635 - Coaching Special Populations",RawScores,6,FALSE)</f>
        <v>0</v>
      </c>
      <c r="DR35" s="1">
        <v>33.333333333333336</v>
      </c>
      <c r="DS35" s="1">
        <v>0</v>
      </c>
    </row>
    <row r="36" spans="3:123" x14ac:dyDescent="0.3">
      <c r="C36" s="1">
        <v>2</v>
      </c>
      <c r="D36" s="1">
        <v>25</v>
      </c>
      <c r="E36" s="1" t="s">
        <v>80</v>
      </c>
      <c r="F36" s="4" t="s">
        <v>17</v>
      </c>
      <c r="G36" s="1" t="s">
        <v>57</v>
      </c>
      <c r="H36" s="1">
        <f t="shared" si="7"/>
        <v>0</v>
      </c>
      <c r="I36" s="1">
        <f t="shared" si="8"/>
        <v>0</v>
      </c>
      <c r="J36" s="1">
        <f t="shared" si="9"/>
        <v>0</v>
      </c>
      <c r="DP36" s="1" t="s">
        <v>97</v>
      </c>
      <c r="DQ36" s="1">
        <f>VLOOKUP("R/508/4635 - Coaching Special Populations",RawScores,7,FALSE)</f>
        <v>0</v>
      </c>
      <c r="DR36" s="1">
        <v>33.333333333333336</v>
      </c>
      <c r="DS36" s="1">
        <v>0</v>
      </c>
    </row>
    <row r="37" spans="3:123" x14ac:dyDescent="0.3">
      <c r="C37" s="1">
        <v>2</v>
      </c>
      <c r="D37" s="1">
        <v>26</v>
      </c>
      <c r="E37" s="1" t="s">
        <v>82</v>
      </c>
      <c r="F37" s="4" t="s">
        <v>17</v>
      </c>
      <c r="G37" s="1" t="s">
        <v>57</v>
      </c>
      <c r="H37" s="1">
        <f t="shared" si="7"/>
        <v>0</v>
      </c>
      <c r="I37" s="1">
        <f t="shared" si="8"/>
        <v>0</v>
      </c>
      <c r="J37" s="1">
        <f t="shared" si="9"/>
        <v>0</v>
      </c>
      <c r="DP37" s="1" t="s">
        <v>98</v>
      </c>
      <c r="DQ37" s="1">
        <f>VLOOKUP("R/508/4635 - Coaching Special Populations",RawScores,8,FALSE)</f>
        <v>0</v>
      </c>
      <c r="DR37" s="1">
        <v>33.333333333333336</v>
      </c>
      <c r="DS37" s="1">
        <v>0</v>
      </c>
    </row>
    <row r="38" spans="3:123" x14ac:dyDescent="0.3">
      <c r="C38" s="1">
        <v>2</v>
      </c>
      <c r="D38" s="1">
        <v>27</v>
      </c>
      <c r="E38" s="1" t="s">
        <v>84</v>
      </c>
      <c r="F38" s="4" t="s">
        <v>17</v>
      </c>
      <c r="G38" s="1" t="s">
        <v>57</v>
      </c>
      <c r="H38" s="1">
        <f t="shared" si="7"/>
        <v>0</v>
      </c>
      <c r="I38" s="1">
        <f t="shared" si="8"/>
        <v>0</v>
      </c>
      <c r="J38" s="1">
        <f t="shared" si="9"/>
        <v>0</v>
      </c>
      <c r="DP38" s="1" t="s">
        <v>99</v>
      </c>
      <c r="DQ38" s="1">
        <v>0</v>
      </c>
      <c r="DR38" s="1">
        <v>0</v>
      </c>
      <c r="DS38" s="1">
        <v>0</v>
      </c>
    </row>
    <row r="39" spans="3:123" x14ac:dyDescent="0.3">
      <c r="C39" s="1">
        <v>2</v>
      </c>
      <c r="D39" s="1">
        <v>28</v>
      </c>
      <c r="E39" s="1" t="s">
        <v>86</v>
      </c>
      <c r="F39" s="4" t="s">
        <v>17</v>
      </c>
      <c r="G39" s="1" t="s">
        <v>57</v>
      </c>
      <c r="H39" s="1">
        <f t="shared" si="7"/>
        <v>0</v>
      </c>
      <c r="I39" s="1">
        <f t="shared" si="8"/>
        <v>0</v>
      </c>
      <c r="J39" s="1">
        <f t="shared" si="9"/>
        <v>0</v>
      </c>
      <c r="DP39" s="1" t="s">
        <v>100</v>
      </c>
      <c r="DQ39" s="1">
        <v>0</v>
      </c>
      <c r="DR39" s="1">
        <v>0</v>
      </c>
      <c r="DS39" s="1">
        <v>0</v>
      </c>
    </row>
    <row r="40" spans="3:123" x14ac:dyDescent="0.3">
      <c r="C40" s="1">
        <v>2</v>
      </c>
      <c r="D40" s="1">
        <v>29</v>
      </c>
      <c r="E40" s="1" t="s">
        <v>88</v>
      </c>
      <c r="F40" s="4" t="s">
        <v>12</v>
      </c>
      <c r="G40" s="1" t="s">
        <v>57</v>
      </c>
      <c r="H40" s="1">
        <f t="shared" si="7"/>
        <v>50</v>
      </c>
      <c r="I40" s="1">
        <f t="shared" si="8"/>
        <v>33.333333333333336</v>
      </c>
      <c r="J40" s="1">
        <f t="shared" si="9"/>
        <v>0</v>
      </c>
      <c r="DP40" s="1" t="s">
        <v>101</v>
      </c>
      <c r="DQ40" s="1">
        <f>VLOOKUP("M/508/4593 - Technical and Tactical Skills in Sport",RawScores,5,FALSE)</f>
        <v>0</v>
      </c>
      <c r="DR40" s="1">
        <v>0</v>
      </c>
      <c r="DS40" s="1">
        <v>1</v>
      </c>
    </row>
    <row r="41" spans="3:123" x14ac:dyDescent="0.3">
      <c r="C41" s="1">
        <v>2</v>
      </c>
      <c r="D41" s="1">
        <v>30</v>
      </c>
      <c r="E41" s="1" t="s">
        <v>90</v>
      </c>
      <c r="F41" s="4" t="s">
        <v>14</v>
      </c>
      <c r="G41" s="1" t="s">
        <v>57</v>
      </c>
      <c r="H41" s="1">
        <f t="shared" si="7"/>
        <v>72.5</v>
      </c>
      <c r="I41" s="1">
        <f t="shared" si="8"/>
        <v>33.333333333333336</v>
      </c>
      <c r="J41" s="1">
        <f t="shared" si="9"/>
        <v>0</v>
      </c>
      <c r="DP41" s="1" t="s">
        <v>102</v>
      </c>
      <c r="DQ41" s="1">
        <f>VLOOKUP("M/508/4593 - Technical and Tactical Skills in Sport",RawScores,6,FALSE)</f>
        <v>0</v>
      </c>
      <c r="DR41" s="1">
        <v>33.333333333333336</v>
      </c>
      <c r="DS41" s="1">
        <v>0</v>
      </c>
    </row>
    <row r="42" spans="3:123" x14ac:dyDescent="0.3">
      <c r="C42" s="1">
        <v>2</v>
      </c>
      <c r="D42" s="1">
        <v>31</v>
      </c>
      <c r="E42" s="1" t="s">
        <v>92</v>
      </c>
      <c r="F42" s="4" t="s">
        <v>14</v>
      </c>
      <c r="G42" s="1" t="s">
        <v>57</v>
      </c>
      <c r="H42" s="1">
        <f t="shared" si="7"/>
        <v>72.5</v>
      </c>
      <c r="I42" s="1">
        <f t="shared" si="8"/>
        <v>33.333333333333336</v>
      </c>
      <c r="J42" s="1">
        <f t="shared" si="9"/>
        <v>0</v>
      </c>
      <c r="DP42" s="1" t="s">
        <v>103</v>
      </c>
      <c r="DQ42" s="1">
        <f>VLOOKUP("M/508/4593 - Technical and Tactical Skills in Sport",RawScores,7,FALSE)</f>
        <v>0</v>
      </c>
      <c r="DR42" s="1">
        <v>33.333333333333336</v>
      </c>
      <c r="DS42" s="1">
        <v>0</v>
      </c>
    </row>
    <row r="43" spans="3:123" x14ac:dyDescent="0.3">
      <c r="DP43" s="1" t="s">
        <v>104</v>
      </c>
      <c r="DQ43" s="1">
        <f>VLOOKUP("M/508/4593 - Technical and Tactical Skills in Sport",RawScores,8,FALSE)</f>
        <v>0</v>
      </c>
      <c r="DR43" s="1">
        <v>33.333333333333336</v>
      </c>
      <c r="DS43" s="1">
        <v>0</v>
      </c>
    </row>
    <row r="44" spans="3:123" x14ac:dyDescent="0.3">
      <c r="DP44" s="1" t="s">
        <v>105</v>
      </c>
      <c r="DQ44" s="1">
        <v>0</v>
      </c>
      <c r="DR44" s="1">
        <v>0</v>
      </c>
      <c r="DS44" s="1">
        <v>0</v>
      </c>
    </row>
    <row r="45" spans="3:123" x14ac:dyDescent="0.3">
      <c r="DP45" s="1" t="s">
        <v>106</v>
      </c>
      <c r="DQ45" s="1">
        <v>0</v>
      </c>
      <c r="DR45" s="1">
        <v>0</v>
      </c>
      <c r="DS45" s="1">
        <v>0</v>
      </c>
    </row>
    <row r="46" spans="3:123" x14ac:dyDescent="0.3">
      <c r="DP46" s="1" t="s">
        <v>107</v>
      </c>
      <c r="DQ46" s="1">
        <f>VLOOKUP("K/508/4592 - Psychology for Sports Performance",RawScores,5,FALSE)</f>
        <v>0</v>
      </c>
      <c r="DR46" s="1">
        <v>0</v>
      </c>
      <c r="DS46" s="1">
        <v>1</v>
      </c>
    </row>
    <row r="47" spans="3:123" x14ac:dyDescent="0.3">
      <c r="DP47" s="1" t="s">
        <v>108</v>
      </c>
      <c r="DQ47" s="1">
        <f>VLOOKUP("K/508/4592 - Psychology for Sports Performance",RawScores,6,FALSE)</f>
        <v>0</v>
      </c>
      <c r="DR47" s="1">
        <v>33.333333333333336</v>
      </c>
      <c r="DS47" s="1">
        <v>0</v>
      </c>
    </row>
    <row r="48" spans="3:123" x14ac:dyDescent="0.3">
      <c r="DP48" s="1" t="s">
        <v>109</v>
      </c>
      <c r="DQ48" s="1">
        <f>VLOOKUP("K/508/4592 - Psychology for Sports Performance",RawScores,7,FALSE)</f>
        <v>0</v>
      </c>
      <c r="DR48" s="1">
        <v>33.333333333333336</v>
      </c>
      <c r="DS48" s="1">
        <v>0</v>
      </c>
    </row>
    <row r="49" spans="120:123" x14ac:dyDescent="0.3">
      <c r="DP49" s="1" t="s">
        <v>110</v>
      </c>
      <c r="DQ49" s="1">
        <f>VLOOKUP("K/508/4592 - Psychology for Sports Performance",RawScores,8,FALSE)</f>
        <v>0</v>
      </c>
      <c r="DR49" s="1">
        <v>33.333333333333336</v>
      </c>
      <c r="DS49" s="1">
        <v>0</v>
      </c>
    </row>
    <row r="50" spans="120:123" x14ac:dyDescent="0.3">
      <c r="DP50" s="1" t="s">
        <v>111</v>
      </c>
      <c r="DQ50" s="1">
        <v>0</v>
      </c>
      <c r="DR50" s="1">
        <v>0</v>
      </c>
      <c r="DS50" s="1">
        <v>0</v>
      </c>
    </row>
    <row r="51" spans="120:123" x14ac:dyDescent="0.3">
      <c r="DP51" s="1" t="s">
        <v>112</v>
      </c>
      <c r="DQ51" s="1">
        <v>0</v>
      </c>
      <c r="DR51" s="1">
        <v>0</v>
      </c>
      <c r="DS51" s="1">
        <v>0</v>
      </c>
    </row>
    <row r="52" spans="120:123" x14ac:dyDescent="0.3">
      <c r="DP52" s="1" t="s">
        <v>113</v>
      </c>
      <c r="DQ52" s="1">
        <f>VLOOKUP("A/508/4600 - Analysis of Sports Performance",RawScores,5,FALSE)</f>
        <v>0</v>
      </c>
      <c r="DR52" s="1">
        <v>0</v>
      </c>
      <c r="DS52" s="1">
        <v>1</v>
      </c>
    </row>
    <row r="53" spans="120:123" x14ac:dyDescent="0.3">
      <c r="DP53" s="1" t="s">
        <v>114</v>
      </c>
      <c r="DQ53" s="1">
        <f>VLOOKUP("A/508/4600 - Analysis of Sports Performance",RawScores,6,FALSE)</f>
        <v>0</v>
      </c>
      <c r="DR53" s="1">
        <v>33.333333333333336</v>
      </c>
      <c r="DS53" s="1">
        <v>0</v>
      </c>
    </row>
    <row r="54" spans="120:123" x14ac:dyDescent="0.3">
      <c r="DP54" s="1" t="s">
        <v>115</v>
      </c>
      <c r="DQ54" s="1">
        <f>VLOOKUP("A/508/4600 - Analysis of Sports Performance",RawScores,7,FALSE)</f>
        <v>0</v>
      </c>
      <c r="DR54" s="1">
        <v>33.333333333333336</v>
      </c>
      <c r="DS54" s="1">
        <v>0</v>
      </c>
    </row>
    <row r="55" spans="120:123" x14ac:dyDescent="0.3">
      <c r="DP55" s="1" t="s">
        <v>116</v>
      </c>
      <c r="DQ55" s="1">
        <f>VLOOKUP("A/508/4600 - Analysis of Sports Performance",RawScores,8,FALSE)</f>
        <v>0</v>
      </c>
      <c r="DR55" s="1">
        <v>33.333333333333336</v>
      </c>
      <c r="DS55" s="1">
        <v>0</v>
      </c>
    </row>
    <row r="56" spans="120:123" x14ac:dyDescent="0.3">
      <c r="DP56" s="1" t="s">
        <v>117</v>
      </c>
      <c r="DQ56" s="1">
        <v>0</v>
      </c>
      <c r="DR56" s="1">
        <v>0</v>
      </c>
      <c r="DS56" s="1">
        <v>0</v>
      </c>
    </row>
    <row r="57" spans="120:123" x14ac:dyDescent="0.3">
      <c r="DP57" s="1" t="s">
        <v>118</v>
      </c>
      <c r="DQ57" s="1">
        <v>0</v>
      </c>
      <c r="DR57" s="1">
        <v>0</v>
      </c>
      <c r="DS57" s="1">
        <v>0</v>
      </c>
    </row>
    <row r="58" spans="120:123" x14ac:dyDescent="0.3">
      <c r="DP58" s="1" t="s">
        <v>119</v>
      </c>
      <c r="DQ58" s="1">
        <f>VLOOKUP("Y/508/4622 - Sports Nutrition",RawScores,5,FALSE)</f>
        <v>0</v>
      </c>
      <c r="DR58" s="1">
        <v>0</v>
      </c>
      <c r="DS58" s="1">
        <v>1</v>
      </c>
    </row>
    <row r="59" spans="120:123" x14ac:dyDescent="0.3">
      <c r="DP59" s="1" t="s">
        <v>120</v>
      </c>
      <c r="DQ59" s="1">
        <f>VLOOKUP("Y/508/4622 - Sports Nutrition",RawScores,6,FALSE)</f>
        <v>0</v>
      </c>
      <c r="DR59" s="1">
        <v>33.333333333333336</v>
      </c>
      <c r="DS59" s="1">
        <v>0</v>
      </c>
    </row>
    <row r="60" spans="120:123" x14ac:dyDescent="0.3">
      <c r="DP60" s="1" t="s">
        <v>121</v>
      </c>
      <c r="DQ60" s="1">
        <f>VLOOKUP("Y/508/4622 - Sports Nutrition",RawScores,7,FALSE)</f>
        <v>0</v>
      </c>
      <c r="DR60" s="1">
        <v>33.333333333333336</v>
      </c>
      <c r="DS60" s="1">
        <v>0</v>
      </c>
    </row>
    <row r="61" spans="120:123" x14ac:dyDescent="0.3">
      <c r="DP61" s="1" t="s">
        <v>122</v>
      </c>
      <c r="DQ61" s="1">
        <f>VLOOKUP("Y/508/4622 - Sports Nutrition",RawScores,8,FALSE)</f>
        <v>0</v>
      </c>
      <c r="DR61" s="1">
        <v>33.333333333333336</v>
      </c>
      <c r="DS61" s="1">
        <v>0</v>
      </c>
    </row>
    <row r="62" spans="120:123" x14ac:dyDescent="0.3">
      <c r="DP62" s="1" t="s">
        <v>123</v>
      </c>
      <c r="DQ62" s="1">
        <v>0</v>
      </c>
      <c r="DR62" s="1">
        <v>0</v>
      </c>
      <c r="DS62" s="1">
        <v>0</v>
      </c>
    </row>
    <row r="63" spans="120:123" x14ac:dyDescent="0.3">
      <c r="DP63" s="1" t="s">
        <v>124</v>
      </c>
      <c r="DQ63" s="1">
        <v>0</v>
      </c>
      <c r="DR63" s="1">
        <v>0</v>
      </c>
      <c r="DS63" s="1">
        <v>0</v>
      </c>
    </row>
    <row r="64" spans="120:123" x14ac:dyDescent="0.3">
      <c r="DP64" s="1" t="s">
        <v>125</v>
      </c>
      <c r="DQ64" s="1">
        <f>VLOOKUP("H/508/4591 - Fitness Testing for Sport and Exercise",RawScores,5,FALSE)</f>
        <v>0</v>
      </c>
      <c r="DR64" s="1">
        <v>0</v>
      </c>
      <c r="DS64" s="1">
        <v>1</v>
      </c>
    </row>
    <row r="65" spans="120:123" x14ac:dyDescent="0.3">
      <c r="DP65" s="1" t="s">
        <v>126</v>
      </c>
      <c r="DQ65" s="1">
        <f>VLOOKUP("H/508/4591 - Fitness Testing for Sport and Exercise",RawScores,6,FALSE)</f>
        <v>0</v>
      </c>
      <c r="DR65" s="1">
        <v>33.333333333333336</v>
      </c>
      <c r="DS65" s="1">
        <v>0</v>
      </c>
    </row>
    <row r="66" spans="120:123" x14ac:dyDescent="0.3">
      <c r="DP66" s="1" t="s">
        <v>127</v>
      </c>
      <c r="DQ66" s="1">
        <f>VLOOKUP("H/508/4591 - Fitness Testing for Sport and Exercise",RawScores,7,FALSE)</f>
        <v>0</v>
      </c>
      <c r="DR66" s="1">
        <v>33.333333333333336</v>
      </c>
      <c r="DS66" s="1">
        <v>0</v>
      </c>
    </row>
    <row r="67" spans="120:123" x14ac:dyDescent="0.3">
      <c r="DP67" s="1" t="s">
        <v>128</v>
      </c>
      <c r="DQ67" s="1">
        <f>VLOOKUP("H/508/4591 - Fitness Testing for Sport and Exercise",RawScores,8,FALSE)</f>
        <v>0</v>
      </c>
      <c r="DR67" s="1">
        <v>33.333333333333336</v>
      </c>
      <c r="DS67" s="1">
        <v>0</v>
      </c>
    </row>
    <row r="68" spans="120:123" x14ac:dyDescent="0.3">
      <c r="DP68" s="1" t="s">
        <v>129</v>
      </c>
      <c r="DQ68" s="1">
        <v>0</v>
      </c>
      <c r="DR68" s="1">
        <v>0</v>
      </c>
      <c r="DS68" s="1">
        <v>0</v>
      </c>
    </row>
    <row r="69" spans="120:123" x14ac:dyDescent="0.3">
      <c r="DP69" s="1" t="s">
        <v>130</v>
      </c>
      <c r="DQ69" s="1">
        <v>0</v>
      </c>
      <c r="DR69" s="1">
        <v>0</v>
      </c>
      <c r="DS69" s="1">
        <v>0</v>
      </c>
    </row>
    <row r="70" spans="120:123" x14ac:dyDescent="0.3">
      <c r="DP70" s="1" t="s">
        <v>131</v>
      </c>
      <c r="DQ70" s="1">
        <f>VLOOKUP("F/508/4582 - Assessing Risk in Sport",RawScores,5,FALSE)</f>
        <v>0</v>
      </c>
      <c r="DR70" s="1">
        <v>0</v>
      </c>
      <c r="DS70" s="1">
        <v>1</v>
      </c>
    </row>
    <row r="71" spans="120:123" x14ac:dyDescent="0.3">
      <c r="DP71" s="1" t="s">
        <v>132</v>
      </c>
      <c r="DQ71" s="1">
        <f>VLOOKUP("F/508/4582 - Assessing Risk in Sport",RawScores,6,FALSE)</f>
        <v>0</v>
      </c>
      <c r="DR71" s="1">
        <v>33.333333333333336</v>
      </c>
      <c r="DS71" s="1">
        <v>0</v>
      </c>
    </row>
    <row r="72" spans="120:123" x14ac:dyDescent="0.3">
      <c r="DP72" s="1" t="s">
        <v>133</v>
      </c>
      <c r="DQ72" s="1">
        <f>VLOOKUP("F/508/4582 - Assessing Risk in Sport",RawScores,7,FALSE)</f>
        <v>0</v>
      </c>
      <c r="DR72" s="1">
        <v>33.333333333333336</v>
      </c>
      <c r="DS72" s="1">
        <v>0</v>
      </c>
    </row>
    <row r="73" spans="120:123" x14ac:dyDescent="0.3">
      <c r="DP73" s="1" t="s">
        <v>134</v>
      </c>
      <c r="DQ73" s="1">
        <f>VLOOKUP("F/508/4582 - Assessing Risk in Sport",RawScores,8,FALSE)</f>
        <v>0</v>
      </c>
      <c r="DR73" s="1">
        <v>33.333333333333336</v>
      </c>
      <c r="DS73" s="1">
        <v>0</v>
      </c>
    </row>
    <row r="74" spans="120:123" x14ac:dyDescent="0.3">
      <c r="DP74" s="1" t="s">
        <v>135</v>
      </c>
      <c r="DQ74" s="1">
        <v>0</v>
      </c>
      <c r="DR74" s="1">
        <v>0</v>
      </c>
      <c r="DS74" s="1">
        <v>0</v>
      </c>
    </row>
    <row r="75" spans="120:123" x14ac:dyDescent="0.3">
      <c r="DP75" s="1" t="s">
        <v>136</v>
      </c>
      <c r="DQ75" s="1">
        <v>0</v>
      </c>
      <c r="DR75" s="1">
        <v>0</v>
      </c>
      <c r="DS75" s="1">
        <v>0</v>
      </c>
    </row>
    <row r="76" spans="120:123" x14ac:dyDescent="0.3">
      <c r="DP76" s="1" t="s">
        <v>137</v>
      </c>
      <c r="DQ76" s="1">
        <f>VLOOKUP("L/508/4584 - Principles of Anatomy and Physiology",RawScores,5,FALSE)</f>
        <v>0</v>
      </c>
      <c r="DR76" s="1">
        <v>0</v>
      </c>
      <c r="DS76" s="1">
        <v>1</v>
      </c>
    </row>
    <row r="77" spans="120:123" x14ac:dyDescent="0.3">
      <c r="DP77" s="1" t="s">
        <v>138</v>
      </c>
      <c r="DQ77" s="1">
        <f>VLOOKUP("L/508/4584 - Principles of Anatomy and Physiology",RawScores,6,FALSE)</f>
        <v>0</v>
      </c>
      <c r="DR77" s="1">
        <v>33.333333333333336</v>
      </c>
      <c r="DS77" s="1">
        <v>0</v>
      </c>
    </row>
    <row r="78" spans="120:123" x14ac:dyDescent="0.3">
      <c r="DP78" s="1" t="s">
        <v>139</v>
      </c>
      <c r="DQ78" s="1">
        <f>VLOOKUP("L/508/4584 - Principles of Anatomy and Physiology",RawScores,7,FALSE)</f>
        <v>0</v>
      </c>
      <c r="DR78" s="1">
        <v>33.333333333333336</v>
      </c>
      <c r="DS78" s="1">
        <v>0</v>
      </c>
    </row>
    <row r="79" spans="120:123" x14ac:dyDescent="0.3">
      <c r="DP79" s="1" t="s">
        <v>140</v>
      </c>
      <c r="DQ79" s="1">
        <f>VLOOKUP("L/508/4584 - Principles of Anatomy and Physiology",RawScores,8,FALSE)</f>
        <v>0</v>
      </c>
      <c r="DR79" s="1">
        <v>33.333333333333336</v>
      </c>
      <c r="DS79" s="1">
        <v>0</v>
      </c>
    </row>
    <row r="80" spans="120:123" x14ac:dyDescent="0.3">
      <c r="DP80" s="1" t="s">
        <v>141</v>
      </c>
      <c r="DQ80" s="1">
        <v>0</v>
      </c>
      <c r="DR80" s="1">
        <v>0</v>
      </c>
      <c r="DS80" s="1">
        <v>0</v>
      </c>
    </row>
    <row r="81" spans="120:123" x14ac:dyDescent="0.3">
      <c r="DP81" s="1" t="s">
        <v>142</v>
      </c>
      <c r="DQ81" s="1">
        <v>0</v>
      </c>
      <c r="DR81" s="1">
        <v>0</v>
      </c>
      <c r="DS81" s="1">
        <v>0</v>
      </c>
    </row>
    <row r="82" spans="120:123" x14ac:dyDescent="0.3">
      <c r="DP82" s="1" t="s">
        <v>143</v>
      </c>
      <c r="DQ82" s="1">
        <f>VLOOKUP("K/508/4589 - The Physiology of Fitness",RawScores,5,FALSE)</f>
        <v>0</v>
      </c>
      <c r="DR82" s="1">
        <v>0</v>
      </c>
      <c r="DS82" s="1">
        <v>1</v>
      </c>
    </row>
    <row r="83" spans="120:123" x14ac:dyDescent="0.3">
      <c r="DP83" s="1" t="s">
        <v>144</v>
      </c>
      <c r="DQ83" s="1">
        <f>VLOOKUP("K/508/4589 - The Physiology of Fitness",RawScores,6,FALSE)</f>
        <v>0</v>
      </c>
      <c r="DR83" s="1">
        <v>33.333333333333336</v>
      </c>
      <c r="DS83" s="1">
        <v>0</v>
      </c>
    </row>
    <row r="84" spans="120:123" x14ac:dyDescent="0.3">
      <c r="DP84" s="1" t="s">
        <v>145</v>
      </c>
      <c r="DQ84" s="1">
        <f>VLOOKUP("K/508/4589 - The Physiology of Fitness",RawScores,7,FALSE)</f>
        <v>0</v>
      </c>
      <c r="DR84" s="1">
        <v>33.333333333333336</v>
      </c>
      <c r="DS84" s="1">
        <v>0</v>
      </c>
    </row>
    <row r="85" spans="120:123" x14ac:dyDescent="0.3">
      <c r="DP85" s="1" t="s">
        <v>146</v>
      </c>
      <c r="DQ85" s="1">
        <f>VLOOKUP("K/508/4589 - The Physiology of Fitness",RawScores,8,FALSE)</f>
        <v>0</v>
      </c>
      <c r="DR85" s="1">
        <v>33.333333333333336</v>
      </c>
      <c r="DS85" s="1">
        <v>0</v>
      </c>
    </row>
    <row r="86" spans="120:123" x14ac:dyDescent="0.3">
      <c r="DP86" s="1" t="s">
        <v>147</v>
      </c>
      <c r="DQ86" s="1">
        <v>0</v>
      </c>
      <c r="DR86" s="1">
        <v>0</v>
      </c>
      <c r="DS86" s="1">
        <v>0</v>
      </c>
    </row>
    <row r="87" spans="120:123" x14ac:dyDescent="0.3">
      <c r="DP87" s="1" t="s">
        <v>148</v>
      </c>
      <c r="DQ87" s="1">
        <v>0</v>
      </c>
      <c r="DR87" s="1">
        <v>0</v>
      </c>
      <c r="DS87" s="1">
        <v>0</v>
      </c>
    </row>
    <row r="88" spans="120:123" x14ac:dyDescent="0.3">
      <c r="DP88" s="1" t="s">
        <v>149</v>
      </c>
      <c r="DQ88" s="1">
        <f>VLOOKUP("D/508/4590 - Fitness Training and Programming",RawScores,5,FALSE)</f>
        <v>0</v>
      </c>
      <c r="DR88" s="1">
        <v>0</v>
      </c>
      <c r="DS88" s="1">
        <v>1</v>
      </c>
    </row>
    <row r="89" spans="120:123" x14ac:dyDescent="0.3">
      <c r="DP89" s="1" t="s">
        <v>150</v>
      </c>
      <c r="DQ89" s="1">
        <f>VLOOKUP("D/508/4590 - Fitness Training and Programming",RawScores,6,FALSE)</f>
        <v>0</v>
      </c>
      <c r="DR89" s="1">
        <v>33.333333333333336</v>
      </c>
      <c r="DS89" s="1">
        <v>0</v>
      </c>
    </row>
    <row r="90" spans="120:123" x14ac:dyDescent="0.3">
      <c r="DP90" s="1" t="s">
        <v>151</v>
      </c>
      <c r="DQ90" s="1">
        <f>VLOOKUP("D/508/4590 - Fitness Training and Programming",RawScores,7,FALSE)</f>
        <v>0</v>
      </c>
      <c r="DR90" s="1">
        <v>33.333333333333336</v>
      </c>
      <c r="DS90" s="1">
        <v>0</v>
      </c>
    </row>
    <row r="91" spans="120:123" x14ac:dyDescent="0.3">
      <c r="DP91" s="1" t="s">
        <v>152</v>
      </c>
      <c r="DQ91" s="1">
        <f>VLOOKUP("D/508/4590 - Fitness Training and Programming",RawScores,8,FALSE)</f>
        <v>0</v>
      </c>
      <c r="DR91" s="1">
        <v>33.333333333333336</v>
      </c>
      <c r="DS91" s="1">
        <v>0</v>
      </c>
    </row>
    <row r="92" spans="120:123" x14ac:dyDescent="0.3">
      <c r="DP92" s="1" t="s">
        <v>153</v>
      </c>
      <c r="DQ92" s="1">
        <v>0</v>
      </c>
      <c r="DR92" s="1">
        <v>0</v>
      </c>
      <c r="DS92" s="1">
        <v>0</v>
      </c>
    </row>
    <row r="93" spans="120:123" x14ac:dyDescent="0.3">
      <c r="DP93" s="1" t="s">
        <v>154</v>
      </c>
      <c r="DQ93" s="1">
        <v>0</v>
      </c>
      <c r="DR93" s="1">
        <v>0</v>
      </c>
      <c r="DS93" s="1">
        <v>0</v>
      </c>
    </row>
    <row r="94" spans="120:123" x14ac:dyDescent="0.3">
      <c r="DP94" s="1" t="s">
        <v>155</v>
      </c>
      <c r="DQ94" s="1">
        <f>VLOOKUP("T/508/4594 - The Athlete's Lifestyle",RawScores,5,FALSE)</f>
        <v>0</v>
      </c>
      <c r="DR94" s="1">
        <v>0</v>
      </c>
      <c r="DS94" s="1">
        <v>1</v>
      </c>
    </row>
    <row r="95" spans="120:123" x14ac:dyDescent="0.3">
      <c r="DP95" s="1" t="s">
        <v>156</v>
      </c>
      <c r="DQ95" s="1">
        <f>VLOOKUP("T/508/4594 - The Athlete's Lifestyle",RawScores,6,FALSE)</f>
        <v>0</v>
      </c>
      <c r="DR95" s="1">
        <v>33.333333333333336</v>
      </c>
      <c r="DS95" s="1">
        <v>0</v>
      </c>
    </row>
    <row r="96" spans="120:123" x14ac:dyDescent="0.3">
      <c r="DP96" s="1" t="s">
        <v>157</v>
      </c>
      <c r="DQ96" s="1">
        <f>VLOOKUP("T/508/4594 - The Athlete's Lifestyle",RawScores,7,FALSE)</f>
        <v>0</v>
      </c>
      <c r="DR96" s="1">
        <v>33.333333333333336</v>
      </c>
      <c r="DS96" s="1">
        <v>0</v>
      </c>
    </row>
    <row r="97" spans="120:123" x14ac:dyDescent="0.3">
      <c r="DP97" s="1" t="s">
        <v>158</v>
      </c>
      <c r="DQ97" s="1">
        <f>VLOOKUP("T/508/4594 - The Athlete's Lifestyle",RawScores,8,FALSE)</f>
        <v>0</v>
      </c>
      <c r="DR97" s="1">
        <v>33.333333333333336</v>
      </c>
      <c r="DS97" s="1">
        <v>0</v>
      </c>
    </row>
    <row r="98" spans="120:123" x14ac:dyDescent="0.3">
      <c r="DP98" s="1" t="s">
        <v>159</v>
      </c>
      <c r="DQ98" s="1">
        <v>0</v>
      </c>
      <c r="DR98" s="1">
        <v>0</v>
      </c>
      <c r="DS98" s="1">
        <v>0</v>
      </c>
    </row>
    <row r="99" spans="120:123" x14ac:dyDescent="0.3">
      <c r="DP99" s="1" t="s">
        <v>160</v>
      </c>
      <c r="DQ99" s="1">
        <v>0</v>
      </c>
      <c r="DR99" s="1">
        <v>0</v>
      </c>
      <c r="DS99" s="1">
        <v>0</v>
      </c>
    </row>
    <row r="100" spans="120:123" x14ac:dyDescent="0.3">
      <c r="DP100" s="1" t="s">
        <v>161</v>
      </c>
      <c r="DQ100" s="1">
        <f>VLOOKUP("A/508/4595 - Current Issues in Sport",RawScores,5,FALSE)</f>
        <v>0</v>
      </c>
      <c r="DR100" s="1">
        <v>0</v>
      </c>
      <c r="DS100" s="1">
        <v>1</v>
      </c>
    </row>
    <row r="101" spans="120:123" x14ac:dyDescent="0.3">
      <c r="DP101" s="1" t="s">
        <v>162</v>
      </c>
      <c r="DQ101" s="1">
        <f>VLOOKUP("A/508/4595 - Current Issues in Sport",RawScores,6,FALSE)</f>
        <v>0</v>
      </c>
      <c r="DR101" s="1">
        <v>33.333333333333336</v>
      </c>
      <c r="DS101" s="1">
        <v>0</v>
      </c>
    </row>
    <row r="102" spans="120:123" x14ac:dyDescent="0.3">
      <c r="DP102" s="1" t="s">
        <v>163</v>
      </c>
      <c r="DQ102" s="1">
        <f>VLOOKUP("A/508/4595 - Current Issues in Sport",RawScores,7,FALSE)</f>
        <v>0</v>
      </c>
      <c r="DR102" s="1">
        <v>33.333333333333336</v>
      </c>
      <c r="DS102" s="1">
        <v>0</v>
      </c>
    </row>
    <row r="103" spans="120:123" x14ac:dyDescent="0.3">
      <c r="DP103" s="1" t="s">
        <v>164</v>
      </c>
      <c r="DQ103" s="1">
        <f>VLOOKUP("A/508/4595 - Current Issues in Sport",RawScores,8,FALSE)</f>
        <v>0</v>
      </c>
      <c r="DR103" s="1">
        <v>33.333333333333336</v>
      </c>
      <c r="DS103" s="1">
        <v>0</v>
      </c>
    </row>
    <row r="104" spans="120:123" x14ac:dyDescent="0.3">
      <c r="DP104" s="1" t="s">
        <v>165</v>
      </c>
      <c r="DQ104" s="1">
        <v>0</v>
      </c>
      <c r="DR104" s="1">
        <v>0</v>
      </c>
      <c r="DS104" s="1">
        <v>0</v>
      </c>
    </row>
    <row r="105" spans="120:123" x14ac:dyDescent="0.3">
      <c r="DP105" s="1" t="s">
        <v>166</v>
      </c>
      <c r="DQ105" s="1">
        <v>0</v>
      </c>
      <c r="DR105" s="1">
        <v>0</v>
      </c>
      <c r="DS105" s="1">
        <v>0</v>
      </c>
    </row>
    <row r="106" spans="120:123" x14ac:dyDescent="0.3">
      <c r="DP106" s="1" t="s">
        <v>167</v>
      </c>
      <c r="DQ106" s="1">
        <f>VLOOKUP("F/508/4596 - Instructing Physical Activity and Exercise",RawScores,5,FALSE)</f>
        <v>0</v>
      </c>
      <c r="DR106" s="1">
        <v>0</v>
      </c>
      <c r="DS106" s="1">
        <v>1</v>
      </c>
    </row>
    <row r="107" spans="120:123" x14ac:dyDescent="0.3">
      <c r="DP107" s="1" t="s">
        <v>168</v>
      </c>
      <c r="DQ107" s="1">
        <f>VLOOKUP("F/508/4596 - Instructing Physical Activity and Exercise",RawScores,6,FALSE)</f>
        <v>0</v>
      </c>
      <c r="DR107" s="1">
        <v>33.333333333333336</v>
      </c>
      <c r="DS107" s="1">
        <v>0</v>
      </c>
    </row>
    <row r="108" spans="120:123" x14ac:dyDescent="0.3">
      <c r="DP108" s="1" t="s">
        <v>169</v>
      </c>
      <c r="DQ108" s="1">
        <f>VLOOKUP("F/508/4596 - Instructing Physical Activity and Exercise",RawScores,7,FALSE)</f>
        <v>0</v>
      </c>
      <c r="DR108" s="1">
        <v>33.333333333333336</v>
      </c>
      <c r="DS108" s="1">
        <v>0</v>
      </c>
    </row>
    <row r="109" spans="120:123" x14ac:dyDescent="0.3">
      <c r="DP109" s="1" t="s">
        <v>170</v>
      </c>
      <c r="DQ109" s="1">
        <f>VLOOKUP("F/508/4596 - Instructing Physical Activity and Exercise",RawScores,8,FALSE)</f>
        <v>0</v>
      </c>
      <c r="DR109" s="1">
        <v>33.333333333333336</v>
      </c>
      <c r="DS109" s="1">
        <v>0</v>
      </c>
    </row>
    <row r="110" spans="120:123" x14ac:dyDescent="0.3">
      <c r="DP110" s="1" t="s">
        <v>171</v>
      </c>
      <c r="DQ110" s="1">
        <v>0</v>
      </c>
      <c r="DR110" s="1">
        <v>0</v>
      </c>
      <c r="DS110" s="1">
        <v>0</v>
      </c>
    </row>
    <row r="111" spans="120:123" x14ac:dyDescent="0.3">
      <c r="DP111" s="1" t="s">
        <v>172</v>
      </c>
      <c r="DQ111" s="1">
        <v>0</v>
      </c>
      <c r="DR111" s="1">
        <v>0</v>
      </c>
      <c r="DS111" s="1">
        <v>0</v>
      </c>
    </row>
    <row r="112" spans="120:123" x14ac:dyDescent="0.3">
      <c r="DP112" s="1" t="s">
        <v>173</v>
      </c>
      <c r="DQ112" s="1">
        <f>VLOOKUP("J/508/4597 - Sports Injuries",RawScores,5,FALSE)</f>
        <v>0</v>
      </c>
      <c r="DR112" s="1">
        <v>0</v>
      </c>
      <c r="DS112" s="1">
        <v>1</v>
      </c>
    </row>
    <row r="113" spans="120:123" x14ac:dyDescent="0.3">
      <c r="DP113" s="1" t="s">
        <v>174</v>
      </c>
      <c r="DQ113" s="1">
        <f>VLOOKUP("J/508/4597 - Sports Injuries",RawScores,6,FALSE)</f>
        <v>0</v>
      </c>
      <c r="DR113" s="1">
        <v>33.333333333333336</v>
      </c>
      <c r="DS113" s="1">
        <v>0</v>
      </c>
    </row>
    <row r="114" spans="120:123" x14ac:dyDescent="0.3">
      <c r="DP114" s="1" t="s">
        <v>175</v>
      </c>
      <c r="DQ114" s="1">
        <f>VLOOKUP("J/508/4597 - Sports Injuries",RawScores,7,FALSE)</f>
        <v>0</v>
      </c>
      <c r="DR114" s="1">
        <v>33.333333333333336</v>
      </c>
      <c r="DS114" s="1">
        <v>0</v>
      </c>
    </row>
    <row r="115" spans="120:123" x14ac:dyDescent="0.3">
      <c r="DP115" s="1" t="s">
        <v>176</v>
      </c>
      <c r="DQ115" s="1">
        <f>VLOOKUP("J/508/4597 - Sports Injuries",RawScores,8,FALSE)</f>
        <v>0</v>
      </c>
      <c r="DR115" s="1">
        <v>33.333333333333336</v>
      </c>
      <c r="DS115" s="1">
        <v>0</v>
      </c>
    </row>
    <row r="116" spans="120:123" x14ac:dyDescent="0.3">
      <c r="DP116" s="1" t="s">
        <v>177</v>
      </c>
      <c r="DQ116" s="1">
        <v>0</v>
      </c>
      <c r="DR116" s="1">
        <v>0</v>
      </c>
      <c r="DS116" s="1">
        <v>0</v>
      </c>
    </row>
    <row r="117" spans="120:123" x14ac:dyDescent="0.3">
      <c r="DP117" s="1" t="s">
        <v>178</v>
      </c>
      <c r="DQ117" s="1">
        <v>0</v>
      </c>
      <c r="DR117" s="1">
        <v>0</v>
      </c>
      <c r="DS117" s="1">
        <v>0</v>
      </c>
    </row>
    <row r="118" spans="120:123" x14ac:dyDescent="0.3">
      <c r="DP118" s="1" t="s">
        <v>179</v>
      </c>
      <c r="DQ118" s="1">
        <f>VLOOKUP("L/508/4598 - Sport Development",RawScores,5,FALSE)</f>
        <v>0</v>
      </c>
      <c r="DR118" s="1">
        <v>0</v>
      </c>
      <c r="DS118" s="1">
        <v>1</v>
      </c>
    </row>
    <row r="119" spans="120:123" x14ac:dyDescent="0.3">
      <c r="DP119" s="1" t="s">
        <v>180</v>
      </c>
      <c r="DQ119" s="1">
        <f>VLOOKUP("L/508/4598 - Sport Development",RawScores,6,FALSE)</f>
        <v>0</v>
      </c>
      <c r="DR119" s="1">
        <v>33.333333333333336</v>
      </c>
      <c r="DS119" s="1">
        <v>0</v>
      </c>
    </row>
    <row r="120" spans="120:123" x14ac:dyDescent="0.3">
      <c r="DP120" s="1" t="s">
        <v>181</v>
      </c>
      <c r="DQ120" s="1">
        <f>VLOOKUP("L/508/4598 - Sport Development",RawScores,7,FALSE)</f>
        <v>0</v>
      </c>
      <c r="DR120" s="1">
        <v>33.333333333333336</v>
      </c>
      <c r="DS120" s="1">
        <v>0</v>
      </c>
    </row>
    <row r="121" spans="120:123" x14ac:dyDescent="0.3">
      <c r="DP121" s="1" t="s">
        <v>182</v>
      </c>
      <c r="DQ121" s="1">
        <f>VLOOKUP("L/508/4598 - Sport Development",RawScores,8,FALSE)</f>
        <v>0</v>
      </c>
      <c r="DR121" s="1">
        <v>33.333333333333336</v>
      </c>
      <c r="DS121" s="1">
        <v>0</v>
      </c>
    </row>
    <row r="122" spans="120:123" x14ac:dyDescent="0.3">
      <c r="DP122" s="1" t="s">
        <v>183</v>
      </c>
      <c r="DQ122" s="1">
        <v>0</v>
      </c>
      <c r="DR122" s="1">
        <v>0</v>
      </c>
      <c r="DS122" s="1">
        <v>0</v>
      </c>
    </row>
    <row r="123" spans="120:123" x14ac:dyDescent="0.3">
      <c r="DP123" s="1" t="s">
        <v>184</v>
      </c>
      <c r="DQ123" s="1">
        <v>0</v>
      </c>
      <c r="DR123" s="1">
        <v>0</v>
      </c>
      <c r="DS123" s="1">
        <v>0</v>
      </c>
    </row>
    <row r="124" spans="120:123" x14ac:dyDescent="0.3">
      <c r="DP124" s="1" t="s">
        <v>185</v>
      </c>
      <c r="DQ124" s="1">
        <f>VLOOKUP("R/508/4599 - Leadership in Sport",RawScores,5,FALSE)</f>
        <v>0</v>
      </c>
      <c r="DR124" s="1">
        <v>0</v>
      </c>
      <c r="DS124" s="1">
        <v>1</v>
      </c>
    </row>
    <row r="125" spans="120:123" x14ac:dyDescent="0.3">
      <c r="DP125" s="1" t="s">
        <v>186</v>
      </c>
      <c r="DQ125" s="1">
        <f>VLOOKUP("R/508/4599 - Leadership in Sport",RawScores,6,FALSE)</f>
        <v>0</v>
      </c>
      <c r="DR125" s="1">
        <v>33.333333333333336</v>
      </c>
      <c r="DS125" s="1">
        <v>0</v>
      </c>
    </row>
    <row r="126" spans="120:123" x14ac:dyDescent="0.3">
      <c r="DP126" s="1" t="s">
        <v>187</v>
      </c>
      <c r="DQ126" s="1">
        <f>VLOOKUP("R/508/4599 - Leadership in Sport",RawScores,7,FALSE)</f>
        <v>0</v>
      </c>
      <c r="DR126" s="1">
        <v>33.333333333333336</v>
      </c>
      <c r="DS126" s="1">
        <v>0</v>
      </c>
    </row>
    <row r="127" spans="120:123" x14ac:dyDescent="0.3">
      <c r="DP127" s="1" t="s">
        <v>188</v>
      </c>
      <c r="DQ127" s="1">
        <f>VLOOKUP("R/508/4599 - Leadership in Sport",RawScores,8,FALSE)</f>
        <v>0</v>
      </c>
      <c r="DR127" s="1">
        <v>33.333333333333336</v>
      </c>
      <c r="DS127" s="1">
        <v>0</v>
      </c>
    </row>
    <row r="128" spans="120:123" x14ac:dyDescent="0.3">
      <c r="DP128" s="1" t="s">
        <v>189</v>
      </c>
      <c r="DQ128" s="1">
        <v>0</v>
      </c>
      <c r="DR128" s="1">
        <v>0</v>
      </c>
      <c r="DS128" s="1">
        <v>0</v>
      </c>
    </row>
    <row r="129" spans="120:123" x14ac:dyDescent="0.3">
      <c r="DP129" s="1" t="s">
        <v>190</v>
      </c>
      <c r="DQ129" s="1">
        <v>0</v>
      </c>
      <c r="DR129" s="1">
        <v>0</v>
      </c>
      <c r="DS129" s="1">
        <v>0</v>
      </c>
    </row>
    <row r="130" spans="120:123" x14ac:dyDescent="0.3">
      <c r="DP130" s="1" t="s">
        <v>191</v>
      </c>
      <c r="DQ130" s="1">
        <f>VLOOKUP("F/508/4601 - Ethics and Values in Sport",RawScores,5,FALSE)</f>
        <v>0</v>
      </c>
      <c r="DR130" s="1">
        <v>0</v>
      </c>
      <c r="DS130" s="1">
        <v>1</v>
      </c>
    </row>
    <row r="131" spans="120:123" x14ac:dyDescent="0.3">
      <c r="DP131" s="1" t="s">
        <v>192</v>
      </c>
      <c r="DQ131" s="1">
        <f>VLOOKUP("F/508/4601 - Ethics and Values in Sport",RawScores,6,FALSE)</f>
        <v>0</v>
      </c>
      <c r="DR131" s="1">
        <v>33.333333333333336</v>
      </c>
      <c r="DS131" s="1">
        <v>0</v>
      </c>
    </row>
    <row r="132" spans="120:123" x14ac:dyDescent="0.3">
      <c r="DP132" s="1" t="s">
        <v>193</v>
      </c>
      <c r="DQ132" s="1">
        <f>VLOOKUP("F/508/4601 - Ethics and Values in Sport",RawScores,7,FALSE)</f>
        <v>0</v>
      </c>
      <c r="DR132" s="1">
        <v>33.333333333333336</v>
      </c>
      <c r="DS132" s="1">
        <v>0</v>
      </c>
    </row>
    <row r="133" spans="120:123" x14ac:dyDescent="0.3">
      <c r="DP133" s="1" t="s">
        <v>194</v>
      </c>
      <c r="DQ133" s="1">
        <f>VLOOKUP("F/508/4601 - Ethics and Values in Sport",RawScores,8,FALSE)</f>
        <v>0</v>
      </c>
      <c r="DR133" s="1">
        <v>33.333333333333336</v>
      </c>
      <c r="DS133" s="1">
        <v>0</v>
      </c>
    </row>
    <row r="134" spans="120:123" x14ac:dyDescent="0.3">
      <c r="DP134" s="1" t="s">
        <v>195</v>
      </c>
      <c r="DQ134" s="1">
        <v>0</v>
      </c>
      <c r="DR134" s="1">
        <v>0</v>
      </c>
      <c r="DS134" s="1">
        <v>0</v>
      </c>
    </row>
    <row r="135" spans="120:123" x14ac:dyDescent="0.3">
      <c r="DP135" s="1" t="s">
        <v>196</v>
      </c>
      <c r="DQ135" s="1">
        <v>0</v>
      </c>
      <c r="DR135" s="1">
        <v>0</v>
      </c>
      <c r="DS135" s="1">
        <v>0</v>
      </c>
    </row>
    <row r="136" spans="120:123" x14ac:dyDescent="0.3">
      <c r="DP136" s="1" t="s">
        <v>197</v>
      </c>
      <c r="DQ136" s="1">
        <f>VLOOKUP("J/508/4602 - Business in Sport",RawScores,5,FALSE)</f>
        <v>0</v>
      </c>
      <c r="DR136" s="1">
        <v>0</v>
      </c>
      <c r="DS136" s="1">
        <v>1</v>
      </c>
    </row>
    <row r="137" spans="120:123" x14ac:dyDescent="0.3">
      <c r="DP137" s="1" t="s">
        <v>198</v>
      </c>
      <c r="DQ137" s="1">
        <f>VLOOKUP("J/508/4602 - Business in Sport",RawScores,6,FALSE)</f>
        <v>0</v>
      </c>
      <c r="DR137" s="1">
        <v>33.333333333333336</v>
      </c>
      <c r="DS137" s="1">
        <v>0</v>
      </c>
    </row>
    <row r="138" spans="120:123" x14ac:dyDescent="0.3">
      <c r="DP138" s="1" t="s">
        <v>199</v>
      </c>
      <c r="DQ138" s="1">
        <f>VLOOKUP("J/508/4602 - Business in Sport",RawScores,7,FALSE)</f>
        <v>0</v>
      </c>
      <c r="DR138" s="1">
        <v>33.333333333333336</v>
      </c>
      <c r="DS138" s="1">
        <v>0</v>
      </c>
    </row>
    <row r="139" spans="120:123" x14ac:dyDescent="0.3">
      <c r="DP139" s="1" t="s">
        <v>200</v>
      </c>
      <c r="DQ139" s="1">
        <f>VLOOKUP("J/508/4602 - Business in Sport",RawScores,8,FALSE)</f>
        <v>0</v>
      </c>
      <c r="DR139" s="1">
        <v>33.333333333333336</v>
      </c>
      <c r="DS139" s="1">
        <v>0</v>
      </c>
    </row>
    <row r="140" spans="120:123" x14ac:dyDescent="0.3">
      <c r="DP140" s="1" t="s">
        <v>201</v>
      </c>
      <c r="DQ140" s="1">
        <v>0</v>
      </c>
      <c r="DR140" s="1">
        <v>0</v>
      </c>
      <c r="DS140" s="1">
        <v>0</v>
      </c>
    </row>
    <row r="141" spans="120:123" x14ac:dyDescent="0.3">
      <c r="DP141" s="1" t="s">
        <v>202</v>
      </c>
      <c r="DQ141" s="1">
        <v>0</v>
      </c>
      <c r="DR141" s="1">
        <v>0</v>
      </c>
      <c r="DS141" s="1">
        <v>0</v>
      </c>
    </row>
    <row r="142" spans="120:123" x14ac:dyDescent="0.3">
      <c r="DP142" s="1" t="s">
        <v>203</v>
      </c>
      <c r="DQ142" s="1">
        <f>VLOOKUP("L/508/4603 - Sport and Exercise Massage",RawScores,5,FALSE)</f>
        <v>0</v>
      </c>
      <c r="DR142" s="1">
        <v>0</v>
      </c>
      <c r="DS142" s="1">
        <v>1</v>
      </c>
    </row>
    <row r="143" spans="120:123" x14ac:dyDescent="0.3">
      <c r="DP143" s="1" t="s">
        <v>204</v>
      </c>
      <c r="DQ143" s="1">
        <f>VLOOKUP("L/508/4603 - Sport and Exercise Massage",RawScores,6,FALSE)</f>
        <v>0</v>
      </c>
      <c r="DR143" s="1">
        <v>33.333333333333336</v>
      </c>
      <c r="DS143" s="1">
        <v>0</v>
      </c>
    </row>
    <row r="144" spans="120:123" x14ac:dyDescent="0.3">
      <c r="DP144" s="1" t="s">
        <v>205</v>
      </c>
      <c r="DQ144" s="1">
        <f>VLOOKUP("L/508/4603 - Sport and Exercise Massage",RawScores,7,FALSE)</f>
        <v>0</v>
      </c>
      <c r="DR144" s="1">
        <v>33.333333333333336</v>
      </c>
      <c r="DS144" s="1">
        <v>0</v>
      </c>
    </row>
    <row r="145" spans="120:123" x14ac:dyDescent="0.3">
      <c r="DP145" s="1" t="s">
        <v>206</v>
      </c>
      <c r="DQ145" s="1">
        <f>VLOOKUP("L/508/4603 - Sport and Exercise Massage",RawScores,8,FALSE)</f>
        <v>0</v>
      </c>
      <c r="DR145" s="1">
        <v>33.333333333333336</v>
      </c>
      <c r="DS145" s="1">
        <v>0</v>
      </c>
    </row>
    <row r="146" spans="120:123" x14ac:dyDescent="0.3">
      <c r="DP146" s="1" t="s">
        <v>207</v>
      </c>
      <c r="DQ146" s="1">
        <v>0</v>
      </c>
      <c r="DR146" s="1">
        <v>0</v>
      </c>
      <c r="DS146" s="1">
        <v>0</v>
      </c>
    </row>
    <row r="147" spans="120:123" x14ac:dyDescent="0.3">
      <c r="DP147" s="1" t="s">
        <v>208</v>
      </c>
      <c r="DQ147" s="1">
        <v>0</v>
      </c>
      <c r="DR147" s="1">
        <v>0</v>
      </c>
      <c r="DS147" s="1">
        <v>0</v>
      </c>
    </row>
    <row r="148" spans="120:123" x14ac:dyDescent="0.3">
      <c r="DP148" s="1" t="s">
        <v>209</v>
      </c>
      <c r="DQ148" s="1">
        <f>VLOOKUP("R/508/4604 - Organising Sports Events",RawScores,5,FALSE)</f>
        <v>0</v>
      </c>
      <c r="DR148" s="1">
        <v>0</v>
      </c>
      <c r="DS148" s="1">
        <v>1</v>
      </c>
    </row>
    <row r="149" spans="120:123" x14ac:dyDescent="0.3">
      <c r="DP149" s="1" t="s">
        <v>210</v>
      </c>
      <c r="DQ149" s="1">
        <f>VLOOKUP("R/508/4604 - Organising Sports Events",RawScores,6,FALSE)</f>
        <v>0</v>
      </c>
      <c r="DR149" s="1">
        <v>33.333333333333336</v>
      </c>
      <c r="DS149" s="1">
        <v>0</v>
      </c>
    </row>
    <row r="150" spans="120:123" x14ac:dyDescent="0.3">
      <c r="DP150" s="1" t="s">
        <v>211</v>
      </c>
      <c r="DQ150" s="1">
        <f>VLOOKUP("R/508/4604 - Organising Sports Events",RawScores,7,FALSE)</f>
        <v>0</v>
      </c>
      <c r="DR150" s="1">
        <v>33.333333333333336</v>
      </c>
      <c r="DS150" s="1">
        <v>0</v>
      </c>
    </row>
    <row r="151" spans="120:123" x14ac:dyDescent="0.3">
      <c r="DP151" s="1" t="s">
        <v>212</v>
      </c>
      <c r="DQ151" s="1">
        <f>VLOOKUP("R/508/4604 - Organising Sports Events",RawScores,8,FALSE)</f>
        <v>0</v>
      </c>
      <c r="DR151" s="1">
        <v>33.333333333333336</v>
      </c>
      <c r="DS151" s="1">
        <v>0</v>
      </c>
    </row>
    <row r="152" spans="120:123" x14ac:dyDescent="0.3">
      <c r="DP152" s="1" t="s">
        <v>213</v>
      </c>
      <c r="DQ152" s="1">
        <v>0</v>
      </c>
      <c r="DR152" s="1">
        <v>0</v>
      </c>
      <c r="DS152" s="1">
        <v>0</v>
      </c>
    </row>
    <row r="153" spans="120:123" x14ac:dyDescent="0.3">
      <c r="DP153" s="1" t="s">
        <v>214</v>
      </c>
      <c r="DQ153" s="1">
        <v>0</v>
      </c>
      <c r="DR153" s="1">
        <v>0</v>
      </c>
      <c r="DS153" s="1">
        <v>0</v>
      </c>
    </row>
    <row r="154" spans="120:123" x14ac:dyDescent="0.3">
      <c r="DP154" s="1" t="s">
        <v>215</v>
      </c>
      <c r="DQ154" s="1">
        <f>VLOOKUP("D/508/4606 - Applied Strength and Conditioning",RawScores,5,FALSE)</f>
        <v>0</v>
      </c>
      <c r="DR154" s="1">
        <v>0</v>
      </c>
      <c r="DS154" s="1">
        <v>1</v>
      </c>
    </row>
    <row r="155" spans="120:123" x14ac:dyDescent="0.3">
      <c r="DP155" s="1" t="s">
        <v>216</v>
      </c>
      <c r="DQ155" s="1">
        <f>VLOOKUP("D/508/4606 - Applied Strength and Conditioning",RawScores,6,FALSE)</f>
        <v>0</v>
      </c>
      <c r="DR155" s="1">
        <v>33.333333333333336</v>
      </c>
      <c r="DS155" s="1">
        <v>0</v>
      </c>
    </row>
    <row r="156" spans="120:123" x14ac:dyDescent="0.3">
      <c r="DP156" s="1" t="s">
        <v>217</v>
      </c>
      <c r="DQ156" s="1">
        <f>VLOOKUP("D/508/4606 - Applied Strength and Conditioning",RawScores,7,FALSE)</f>
        <v>0</v>
      </c>
      <c r="DR156" s="1">
        <v>33.333333333333336</v>
      </c>
      <c r="DS156" s="1">
        <v>0</v>
      </c>
    </row>
    <row r="157" spans="120:123" x14ac:dyDescent="0.3">
      <c r="DP157" s="1" t="s">
        <v>218</v>
      </c>
      <c r="DQ157" s="1">
        <f>VLOOKUP("D/508/4606 - Applied Strength and Conditioning",RawScores,8,FALSE)</f>
        <v>0</v>
      </c>
      <c r="DR157" s="1">
        <v>33.333333333333336</v>
      </c>
      <c r="DS157" s="1">
        <v>0</v>
      </c>
    </row>
    <row r="158" spans="120:123" x14ac:dyDescent="0.3">
      <c r="DP158" s="1" t="s">
        <v>219</v>
      </c>
      <c r="DQ158" s="1">
        <v>0</v>
      </c>
      <c r="DR158" s="1">
        <v>0</v>
      </c>
      <c r="DS158" s="1">
        <v>0</v>
      </c>
    </row>
    <row r="159" spans="120:123" x14ac:dyDescent="0.3">
      <c r="DP159" s="1" t="s">
        <v>220</v>
      </c>
      <c r="DQ159" s="1">
        <v>0</v>
      </c>
      <c r="DR159" s="1">
        <v>0</v>
      </c>
      <c r="DS159" s="1">
        <v>0</v>
      </c>
    </row>
    <row r="160" spans="120:123" x14ac:dyDescent="0.3">
      <c r="DP160" s="1" t="s">
        <v>221</v>
      </c>
      <c r="DQ160" s="1">
        <f>VLOOKUP("D/508/4623 - Personal and Professional Development",RawScores,5,FALSE)</f>
        <v>0</v>
      </c>
      <c r="DR160" s="1">
        <v>0</v>
      </c>
      <c r="DS160" s="1">
        <v>1</v>
      </c>
    </row>
    <row r="161" spans="120:123" x14ac:dyDescent="0.3">
      <c r="DP161" s="1" t="s">
        <v>222</v>
      </c>
      <c r="DQ161" s="1">
        <f>VLOOKUP("D/508/4623 - Personal and Professional Development",RawScores,6,FALSE)</f>
        <v>0</v>
      </c>
      <c r="DR161" s="1">
        <v>33.333333333333336</v>
      </c>
      <c r="DS161" s="1">
        <v>0</v>
      </c>
    </row>
    <row r="162" spans="120:123" x14ac:dyDescent="0.3">
      <c r="DP162" s="1" t="s">
        <v>223</v>
      </c>
      <c r="DQ162" s="1">
        <f>VLOOKUP("D/508/4623 - Personal and Professional Development",RawScores,7,FALSE)</f>
        <v>0</v>
      </c>
      <c r="DR162" s="1">
        <v>33.333333333333336</v>
      </c>
      <c r="DS162" s="1">
        <v>0</v>
      </c>
    </row>
    <row r="163" spans="120:123" x14ac:dyDescent="0.3">
      <c r="DP163" s="1" t="s">
        <v>224</v>
      </c>
      <c r="DQ163" s="1">
        <f>VLOOKUP("D/508/4623 - Personal and Professional Development",RawScores,8,FALSE)</f>
        <v>0</v>
      </c>
      <c r="DR163" s="1">
        <v>33.333333333333336</v>
      </c>
      <c r="DS163" s="1">
        <v>0</v>
      </c>
    </row>
    <row r="164" spans="120:123" x14ac:dyDescent="0.3">
      <c r="DP164" s="1" t="s">
        <v>225</v>
      </c>
      <c r="DQ164" s="1">
        <v>0</v>
      </c>
      <c r="DR164" s="1">
        <v>0</v>
      </c>
      <c r="DS164" s="1">
        <v>0</v>
      </c>
    </row>
    <row r="165" spans="120:123" x14ac:dyDescent="0.3">
      <c r="DP165" s="1" t="s">
        <v>226</v>
      </c>
      <c r="DQ165" s="1">
        <v>0</v>
      </c>
      <c r="DR165" s="1">
        <v>0</v>
      </c>
      <c r="DS165" s="1">
        <v>0</v>
      </c>
    </row>
    <row r="166" spans="120:123" x14ac:dyDescent="0.3">
      <c r="DP166" s="1" t="s">
        <v>227</v>
      </c>
      <c r="DQ166" s="1">
        <f>VLOOKUP("Y/508/4619 - Performance Management in Sport and Physical Activity Businesses",RawScores,5,FALSE)</f>
        <v>0</v>
      </c>
      <c r="DR166" s="1">
        <v>0</v>
      </c>
      <c r="DS166" s="1">
        <v>1</v>
      </c>
    </row>
    <row r="167" spans="120:123" x14ac:dyDescent="0.3">
      <c r="DP167" s="1" t="s">
        <v>228</v>
      </c>
      <c r="DQ167" s="1">
        <f>VLOOKUP("Y/508/4619 - Performance Management in Sport and Physical Activity Businesses",RawScores,6,FALSE)</f>
        <v>0</v>
      </c>
      <c r="DR167" s="1">
        <v>33.333333333333336</v>
      </c>
      <c r="DS167" s="1">
        <v>0</v>
      </c>
    </row>
    <row r="168" spans="120:123" x14ac:dyDescent="0.3">
      <c r="DP168" s="1" t="s">
        <v>229</v>
      </c>
      <c r="DQ168" s="1">
        <f>VLOOKUP("Y/508/4619 - Performance Management in Sport and Physical Activity Businesses",RawScores,7,FALSE)</f>
        <v>0</v>
      </c>
      <c r="DR168" s="1">
        <v>33.333333333333336</v>
      </c>
      <c r="DS168" s="1">
        <v>0</v>
      </c>
    </row>
    <row r="169" spans="120:123" x14ac:dyDescent="0.3">
      <c r="DP169" s="1" t="s">
        <v>230</v>
      </c>
      <c r="DQ169" s="1">
        <f>VLOOKUP("Y/508/4619 - Performance Management in Sport and Physical Activity Businesses",RawScores,8,FALSE)</f>
        <v>0</v>
      </c>
      <c r="DR169" s="1">
        <v>33.333333333333336</v>
      </c>
      <c r="DS169" s="1">
        <v>0</v>
      </c>
    </row>
    <row r="170" spans="120:123" x14ac:dyDescent="0.3">
      <c r="DP170" s="1" t="s">
        <v>231</v>
      </c>
      <c r="DQ170" s="1">
        <v>0</v>
      </c>
      <c r="DR170" s="1">
        <v>0</v>
      </c>
      <c r="DS170" s="1">
        <v>0</v>
      </c>
    </row>
    <row r="171" spans="120:123" x14ac:dyDescent="0.3">
      <c r="DP171" s="1" t="s">
        <v>232</v>
      </c>
      <c r="DQ171" s="1">
        <v>0</v>
      </c>
      <c r="DR171" s="1">
        <v>0</v>
      </c>
      <c r="DS171" s="1">
        <v>0</v>
      </c>
    </row>
    <row r="172" spans="120:123" x14ac:dyDescent="0.3">
      <c r="DP172" s="1" t="s">
        <v>233</v>
      </c>
      <c r="DQ172" s="1">
        <f>VLOOKUP("Y/508/4586 - Work Experience in Sport",RawScores,5,FALSE)</f>
        <v>0</v>
      </c>
      <c r="DR172" s="1">
        <v>0</v>
      </c>
      <c r="DS172" s="1">
        <v>1</v>
      </c>
    </row>
    <row r="173" spans="120:123" x14ac:dyDescent="0.3">
      <c r="DP173" s="1" t="s">
        <v>234</v>
      </c>
      <c r="DQ173" s="1">
        <f>VLOOKUP("Y/508/4586 - Work Experience in Sport",RawScores,6,FALSE)</f>
        <v>50</v>
      </c>
      <c r="DR173" s="1">
        <v>33.333333333333336</v>
      </c>
      <c r="DS173" s="1">
        <v>0</v>
      </c>
    </row>
    <row r="174" spans="120:123" x14ac:dyDescent="0.3">
      <c r="DP174" s="1" t="s">
        <v>235</v>
      </c>
      <c r="DQ174" s="1">
        <f>VLOOKUP("Y/508/4586 - Work Experience in Sport",RawScores,7,FALSE)</f>
        <v>60</v>
      </c>
      <c r="DR174" s="1">
        <v>33.333333333333336</v>
      </c>
      <c r="DS174" s="1">
        <v>0</v>
      </c>
    </row>
    <row r="175" spans="120:123" x14ac:dyDescent="0.3">
      <c r="DP175" s="1" t="s">
        <v>236</v>
      </c>
      <c r="DQ175" s="1">
        <f>VLOOKUP("Y/508/4586 - Work Experience in Sport",RawScores,8,FALSE)</f>
        <v>72.5</v>
      </c>
      <c r="DR175" s="1">
        <v>33.333333333333336</v>
      </c>
      <c r="DS175" s="1">
        <v>0</v>
      </c>
    </row>
    <row r="176" spans="120:123" x14ac:dyDescent="0.3">
      <c r="DP176" s="1" t="s">
        <v>237</v>
      </c>
      <c r="DQ176" s="1">
        <v>0</v>
      </c>
      <c r="DR176" s="1">
        <v>0</v>
      </c>
      <c r="DS176" s="1">
        <v>0</v>
      </c>
    </row>
    <row r="177" spans="120:123" x14ac:dyDescent="0.3">
      <c r="DP177" s="1" t="s">
        <v>238</v>
      </c>
      <c r="DQ177" s="1">
        <v>0</v>
      </c>
      <c r="DR177" s="1">
        <v>0</v>
      </c>
      <c r="DS177" s="1">
        <v>0</v>
      </c>
    </row>
    <row r="178" spans="120:123" x14ac:dyDescent="0.3">
      <c r="DP178" s="1" t="s">
        <v>239</v>
      </c>
      <c r="DQ178" s="1">
        <f>VLOOKUP("H/508/4638 - Innovation and Enterprise",RawScores,5,FALSE)</f>
        <v>0</v>
      </c>
      <c r="DR178" s="1">
        <v>0</v>
      </c>
      <c r="DS178" s="1">
        <v>1</v>
      </c>
    </row>
    <row r="179" spans="120:123" x14ac:dyDescent="0.3">
      <c r="DP179" s="1" t="s">
        <v>240</v>
      </c>
      <c r="DQ179" s="1">
        <f>VLOOKUP("H/508/4638 - Innovation and Enterprise",RawScores,6,FALSE)</f>
        <v>50</v>
      </c>
      <c r="DR179" s="1">
        <v>33.333333333333336</v>
      </c>
      <c r="DS179" s="1">
        <v>0</v>
      </c>
    </row>
    <row r="180" spans="120:123" x14ac:dyDescent="0.3">
      <c r="DP180" s="1" t="s">
        <v>241</v>
      </c>
      <c r="DQ180" s="1">
        <f>VLOOKUP("H/508/4638 - Innovation and Enterprise",RawScores,7,FALSE)</f>
        <v>60</v>
      </c>
      <c r="DR180" s="1">
        <v>33.333333333333336</v>
      </c>
      <c r="DS180" s="1">
        <v>0</v>
      </c>
    </row>
    <row r="181" spans="120:123" x14ac:dyDescent="0.3">
      <c r="DP181" s="1" t="s">
        <v>242</v>
      </c>
      <c r="DQ181" s="1">
        <f>VLOOKUP("H/508/4638 - Innovation and Enterprise",RawScores,8,FALSE)</f>
        <v>72.5</v>
      </c>
      <c r="DR181" s="1">
        <v>33.333333333333336</v>
      </c>
      <c r="DS181" s="1">
        <v>0</v>
      </c>
    </row>
    <row r="182" spans="120:123" x14ac:dyDescent="0.3">
      <c r="DP182" s="1" t="s">
        <v>243</v>
      </c>
      <c r="DQ182" s="1">
        <v>0</v>
      </c>
      <c r="DR182" s="1">
        <v>0</v>
      </c>
      <c r="DS182" s="1">
        <v>0</v>
      </c>
    </row>
    <row r="183" spans="120:123" x14ac:dyDescent="0.3">
      <c r="DP183" s="1" t="s">
        <v>244</v>
      </c>
      <c r="DQ183" s="1">
        <v>0</v>
      </c>
      <c r="DR183" s="1">
        <v>0</v>
      </c>
      <c r="DS183" s="1">
        <v>0</v>
      </c>
    </row>
    <row r="184" spans="120:123" x14ac:dyDescent="0.3">
      <c r="DP184" s="1" t="s">
        <v>245</v>
      </c>
      <c r="DQ184" s="1">
        <f>VLOOKUP("L/508/4620 - Marketing Skills for Sport and Physical Activity",RawScores,5,FALSE)</f>
        <v>0</v>
      </c>
      <c r="DR184" s="1">
        <v>0</v>
      </c>
      <c r="DS184" s="1">
        <v>1</v>
      </c>
    </row>
    <row r="185" spans="120:123" x14ac:dyDescent="0.3">
      <c r="DP185" s="1" t="s">
        <v>246</v>
      </c>
      <c r="DQ185" s="1">
        <f>VLOOKUP("L/508/4620 - Marketing Skills for Sport and Physical Activity",RawScores,6,FALSE)</f>
        <v>50</v>
      </c>
      <c r="DR185" s="1">
        <v>33.333333333333336</v>
      </c>
      <c r="DS185" s="1">
        <v>0</v>
      </c>
    </row>
    <row r="186" spans="120:123" x14ac:dyDescent="0.3">
      <c r="DP186" s="1" t="s">
        <v>247</v>
      </c>
      <c r="DQ186" s="1">
        <f>VLOOKUP("L/508/4620 - Marketing Skills for Sport and Physical Activity",RawScores,7,FALSE)</f>
        <v>60</v>
      </c>
      <c r="DR186" s="1">
        <v>33.333333333333336</v>
      </c>
      <c r="DS186" s="1">
        <v>0</v>
      </c>
    </row>
    <row r="187" spans="120:123" x14ac:dyDescent="0.3">
      <c r="DP187" s="1" t="s">
        <v>248</v>
      </c>
      <c r="DQ187" s="1">
        <f>VLOOKUP("L/508/4620 - Marketing Skills for Sport and Physical Activity",RawScores,8,FALSE)</f>
        <v>72.5</v>
      </c>
      <c r="DR187" s="1">
        <v>33.333333333333336</v>
      </c>
      <c r="DS187" s="1">
        <v>0</v>
      </c>
    </row>
  </sheetData>
  <sheetProtection password="A096" sheet="1" formatColumns="0"/>
  <dataValidations count="2">
    <dataValidation type="list" allowBlank="1" showErrorMessage="1" errorTitle="Error" error="Selection not valid" sqref="F12:F14" xr:uid="{00000000-0002-0000-0000-000000000000}">
      <formula1>MandatoryGrades</formula1>
    </dataValidation>
    <dataValidation type="list" allowBlank="1" showErrorMessage="1" errorTitle="Error" error="Selection not valid" sqref="F15:F42" xr:uid="{00000000-0002-0000-0000-000003000000}">
      <formula1>Grades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Qualification Grade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Grade'!TotalGHL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Shippen</dc:creator>
  <cp:lastModifiedBy>Janna Ward</cp:lastModifiedBy>
  <dcterms:created xsi:type="dcterms:W3CDTF">2022-02-15T09:21:40Z</dcterms:created>
  <dcterms:modified xsi:type="dcterms:W3CDTF">2022-02-28T11:36:34Z</dcterms:modified>
</cp:coreProperties>
</file>