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alification Grade" sheetId="1" r:id="rId1"/>
  </sheets>
  <definedNames>
    <definedName name="GroupsGroup" localSheetId="0">'Qualification Grade'!$C$12:$C$15</definedName>
    <definedName name="Selections" localSheetId="0">'Qualification Grade'!$F$12:$F$14</definedName>
    <definedName name="UMSGroup" localSheetId="0">'Qualification Grade'!$H$12:$H$14</definedName>
    <definedName name="MandatoryScoreGroup" localSheetId="0">'Qualification Grade'!$I$12:$I$14</definedName>
    <definedName name="HurdleGroup" localSheetId="0">'Qualification Grade'!$J$12:$J$14</definedName>
    <definedName name="UnitSelections" localSheetId="0">'Qualification Grade'!$E$11:$F$14</definedName>
    <definedName name="RawUmsPercent" localSheetId="0">'Qualification Grade'!$AY$2</definedName>
    <definedName name="HasMet" localSheetId="0">'Qualification Grade'!$BB$2</definedName>
    <definedName name="RawGrade" localSheetId="0">'Qualification Grade'!$BC$2</definedName>
    <definedName name="RawScores" localSheetId="0">'Qualification Grade'!$CV$1:$DC$4</definedName>
    <definedName name="TotalGHL" localSheetId="0">'Qualification Grade'!$CW$5</definedName>
    <definedName name="InternalAssessment" localSheetId="0">'Qualification Grade'!$DP$1:$DS$19</definedName>
    <definedName name="Grades" localSheetId="0">'Qualification Grade'!$EJ$1:$EJ$5</definedName>
    <definedName name="MandatoryGrades" localSheetId="0">'Qualification Grade'!$EL$1:$EL$4</definedName>
    <definedName name="RawMaxGradeCalc" localSheetId="0">'Qualification Grade'!$FF$1:$FG$5</definedName>
  </definedNames>
  <calcPr fullCalcOnLoad="1"/>
</workbook>
</file>

<file path=xl/sharedStrings.xml><?xml version="1.0" encoding="utf-8"?>
<sst xmlns="http://schemas.openxmlformats.org/spreadsheetml/2006/main" count="51" uniqueCount="51">
  <si>
    <t>Total UMS</t>
  </si>
  <si>
    <t>UMS</t>
  </si>
  <si>
    <t>Group 1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</si>
  <si>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</si>
  <si>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</si>
  <si>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</si>
  <si>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</si>
  <si>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</si>
  <si>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</si>
  <si>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</si>
  <si>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</si>
  <si>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</si>
  <si>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</si>
  <si>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</si>
  <si>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</si>
  <si>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</si>
  <si>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</si>
  <si>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</si>
  <si>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</si>
  <si>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</si>
  <si>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</si>
  <si>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</si>
  <si>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</si>
  <si>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</si>
  <si>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R/508/4585 - Principles and Practices in Outdoor Adventure</t>
  </si>
  <si>
    <t>J/508/4583 - Exercise, Health and Lifestyle_Not Yet Achieved</t>
  </si>
  <si>
    <t>Grading Calculator</t>
  </si>
  <si>
    <t>J/508/4583 - Exercise, Health and Lifestyle_Pass</t>
  </si>
  <si>
    <t>601/8877/7/OUT - NCFE Level 3 Introductory Certificate in Sport and Physical Activity (Outdoors)</t>
  </si>
  <si>
    <t>J/508/4583 - Exercise, Health and Lifestyle_Merit</t>
  </si>
  <si>
    <t>Estimated Final Grade</t>
  </si>
  <si>
    <t>J/508/4583 - Exercise, Health and Lifestyle_Distinction</t>
  </si>
  <si>
    <t>Learners are required to successfully complete 3 mandatory units and 0 optional units.</t>
  </si>
  <si>
    <t>D/508/4637 - Preparing for a Career in Sport and Physical Activity_</t>
  </si>
  <si>
    <t>D/508/4637 - Preparing for a Career in Sport and Physical Activity_Not Applicable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</si>
  <si>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</si>
  <si>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</si>
  <si>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</si>
  <si>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</si>
  <si>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</si>
  <si>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</si>
  <si>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D/508/4637 - Preparing for a Career in Sport and Physical Activity_Pass</t>
  </si>
  <si>
    <t>Yes</t>
  </si>
  <si>
    <t>D/508/4637 - Preparing for a Career in Sport and Physical Activity_Merit</t>
  </si>
  <si>
    <t>D/508/4637 - Preparing for a Career in Sport and Physical Activity_Distinction</t>
  </si>
  <si>
    <t>R/508/4585 - Principles and Practices in Outdoor Adventure_</t>
  </si>
  <si>
    <t>R/508/4585 - Principles and Practices in Outdoor Adventure_Not Applicable</t>
  </si>
  <si>
    <t>R/508/4585 - Principles and Practices in Outdoor Adventure_Not Yet Achieved</t>
  </si>
  <si>
    <t>R/508/4585 - Principles and Practices in Outdoor Adventure_Pass</t>
  </si>
  <si>
    <t>R/508/4585 - Principles and Practices in Outdoor Adventure_Merit</t>
  </si>
  <si>
    <t>R/508/4585 - Principles and Practices in Outdoor Adventure_Distinction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</si>
</sst>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FFCC99" tint="0"/>
      </patternFill>
    </fill>
  </fills>
  <borders count="3">
    <border>
      <left/>
      <right/>
      <top/>
      <bottom/>
      <diagonal/>
    </border>
    <border>
      <left style="medium"/>
      <right style="medium"/>
      <top style="medium"/>
      <bottom style="medium"/>
      <diagonal/>
    </border>
    <border>
      <left style="hair"/>
      <right style="hair"/>
      <top style="hair"/>
      <bottom style="hair"/>
      <diagonal/>
    </border>
  </borders>
  <cellStyleXfs count="1">
    <xf numFmtId="0" fontId="0"/>
  </cellStyleXfs>
  <cellXfs count="4">
    <xf numFmtId="0" applyNumberFormat="1" fontId="0" applyFont="1" xfId="0"/>
    <xf numFmtId="0" applyNumberFormat="1" fontId="1" applyFont="1" xfId="0"/>
    <xf numFmtId="0" applyNumberFormat="1" fontId="2" applyFont="1" fillId="2" applyFill="1" borderId="1" applyBorder="1" xfId="0"/>
    <xf numFmtId="0" applyNumberFormat="1" fontId="1" applyFont="1" fillId="3" applyFill="1" borderId="2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0" descr="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G19"/>
  <sheetViews>
    <sheetView workbookViewId="0"/>
  </sheetViews>
  <sheetFormatPr defaultRowHeight="15"/>
  <cols>
    <col min="1" max="1" width="9.140625" customWidth="1" style="1"/>
    <col min="2" max="2" width="9.140625" customWidth="1" style="1"/>
    <col min="3" max="3" hidden="1" width="9.140625" customWidth="1" style="1"/>
    <col min="4" max="4" hidden="1" width="9.140625" customWidth="1" style="1"/>
    <col min="5" max="5" width="70.6824645996094" customWidth="1" style="1"/>
    <col min="6" max="6" width="13.6623862130301" customWidth="1" style="1"/>
    <col min="7" max="7" width="9.27873720441546" customWidth="1" style="1"/>
    <col min="8" max="8" hidden="1" width="9.140625" customWidth="1" style="1"/>
    <col min="9" max="9" hidden="1" width="9.140625" customWidth="1" style="1"/>
    <col min="10" max="10" hidden="1" width="9.140625" customWidth="1" style="1"/>
    <col min="11" max="49" width="9.140625" customWidth="1" style="1"/>
    <col min="50" max="50" hidden="1" width="9.140625" customWidth="1" style="1"/>
    <col min="51" max="51" hidden="1" width="9.140625" customWidth="1" style="1"/>
    <col min="52" max="52" hidden="1" width="9.140625" customWidth="1" style="1"/>
    <col min="53" max="53" hidden="1" width="9.140625" customWidth="1" style="1"/>
    <col min="54" max="54" hidden="1" width="9.140625" customWidth="1" style="1"/>
    <col min="55" max="55" hidden="1" width="9.140625" customWidth="1" style="1"/>
    <col min="56" max="99" width="9.140625" customWidth="1" style="1"/>
    <col min="100" max="100" hidden="1" width="9.140625" customWidth="1" style="1"/>
    <col min="101" max="101" hidden="1" width="9.140625" customWidth="1" style="1"/>
    <col min="102" max="102" hidden="1" width="9.140625" customWidth="1" style="1"/>
    <col min="103" max="103" hidden="1" width="9.140625" customWidth="1" style="1"/>
    <col min="104" max="104" hidden="1" width="9.140625" customWidth="1" style="1"/>
    <col min="105" max="105" hidden="1" width="9.140625" customWidth="1" style="1"/>
    <col min="106" max="106" hidden="1" width="9.140625" customWidth="1" style="1"/>
    <col min="107" max="107" hidden="1" width="9.140625" customWidth="1" style="1"/>
    <col min="108" max="108" hidden="1" width="9.140625" customWidth="1" style="1"/>
    <col min="109" max="119" width="9.140625" customWidth="1" style="1"/>
    <col min="120" max="120" hidden="1" width="9.140625" customWidth="1" style="1"/>
    <col min="121" max="121" hidden="1" width="9.140625" customWidth="1" style="1"/>
    <col min="122" max="122" hidden="1" width="9.140625" customWidth="1" style="1"/>
    <col min="123" max="123" hidden="1" width="9.140625" customWidth="1" style="1"/>
    <col min="124" max="124" hidden="1" width="9.140625" customWidth="1" style="1"/>
    <col min="125" max="139" width="9.140625" customWidth="1" style="1"/>
    <col min="140" max="140" hidden="1" width="9.140625" customWidth="1" style="1"/>
    <col min="141" max="141" width="9.140625" customWidth="1" style="1"/>
    <col min="142" max="142" hidden="1" width="9.140625" customWidth="1" style="1"/>
    <col min="143" max="159" width="9.140625" customWidth="1" style="1"/>
    <col min="160" max="160" hidden="1" width="9.140625" customWidth="1" style="1"/>
    <col min="161" max="161" hidden="1" width="9.140625" customWidth="1" style="1"/>
    <col min="162" max="162" hidden="1" width="9.140625" customWidth="1" style="1"/>
    <col min="163" max="163" hidden="1" width="9.140625" customWidth="1" style="1"/>
    <col min="164" max="164" hidden="1" width="9.140625" customWidth="1" style="1"/>
    <col min="165" max="16384" width="9.140625" customWidth="1" style="1"/>
  </cols>
  <sheetData>
    <row r="1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CV1" s="1" t="s">
        <v>6</v>
      </c>
      <c r="CW1" s="1" t="s">
        <v>7</v>
      </c>
      <c r="CX1" s="1" t="s">
        <v>8</v>
      </c>
      <c r="CY1" s="1" t="s">
        <v>9</v>
      </c>
      <c r="CZ1" s="1" t="s">
        <v>10</v>
      </c>
      <c r="DA1" s="1" t="s">
        <v>11</v>
      </c>
      <c r="DB1" s="1" t="s">
        <v>12</v>
      </c>
      <c r="DC1" s="1" t="s">
        <v>13</v>
      </c>
      <c r="DP1" s="1" t="s">
        <v>14</v>
      </c>
      <c r="DQ1" s="1" t="s">
        <v>1</v>
      </c>
      <c r="DR1" s="1" t="s">
        <v>15</v>
      </c>
      <c r="DS1" s="1" t="s">
        <v>3</v>
      </c>
      <c r="EJ1" s="1" t="s">
        <v>16</v>
      </c>
      <c r="EL1" s="1" t="s">
        <v>10</v>
      </c>
      <c r="FD1" s="1" t="s">
        <v>17</v>
      </c>
      <c r="FE1" s="1" t="s">
        <v>18</v>
      </c>
      <c r="FF1" s="1" t="s">
        <v>5</v>
      </c>
      <c r="FG1" s="1" t="s">
        <v>19</v>
      </c>
    </row>
    <row r="2">
      <c r="AX2" s="1">
        <f>=Sum(UMSGroup)</f>
      </c>
      <c r="AY2" s="1">
        <f>=Sum(UMSGroup)/300</f>
      </c>
      <c r="AZ2" s="1">
        <f>=SUMIF(GroupsGroup,1,MandatoryScoreGroup) &gt;= 100</f>
      </c>
      <c r="BA2" s="1">
        <f>=IF(SUM(HurdleGroup)=0,TRUE,FALSE)</f>
      </c>
      <c r="BB2" s="1">
        <f>=AND(AZ2,BA2)</f>
      </c>
      <c r="BC2" s="1">
        <f>=VLOOKUP(1,RawMaxGradeCalc,2,FALSE)</f>
      </c>
      <c r="CV2" s="1" t="s">
        <v>20</v>
      </c>
      <c r="CW2" s="1">
        <f>=IF(VLOOKUP(CV2,UnitSelections,2,FALSE) ="Not Applicable",0,60)</f>
      </c>
      <c r="CX2" s="1">
        <f>=Sum(CW2/TotalGHL)</f>
      </c>
      <c r="CY2" s="1">
        <f>=Sum(CX2*300)</f>
      </c>
      <c r="CZ2" s="1">
        <f>=Sum(0 % *CY2)</f>
      </c>
      <c r="DA2" s="1">
        <f>=Sum(50 % *CY2)</f>
      </c>
      <c r="DB2" s="1">
        <f>=Sum(60 % *CY2)</f>
      </c>
      <c r="DC2" s="1">
        <f>=Sum(72.5 % *CY2)</f>
      </c>
      <c r="DP2" s="1" t="s">
        <v>21</v>
      </c>
      <c r="DQ2" s="1">
        <v>0</v>
      </c>
      <c r="DR2" s="1">
        <v>0</v>
      </c>
      <c r="DS2" s="1">
        <v>0</v>
      </c>
      <c r="EJ2" s="1" t="s">
        <v>10</v>
      </c>
      <c r="EL2" s="1" t="s">
        <v>11</v>
      </c>
      <c r="FD2" s="1">
        <v>0</v>
      </c>
      <c r="FE2" s="1">
        <v>45</v>
      </c>
      <c r="FF2" s="1">
        <f>=IF(AND(RawUmsPercent*100&gt;=FD2,RawUmsPercent*100&lt;FE2),1, 0)</f>
      </c>
      <c r="FG2" s="1" t="s">
        <v>10</v>
      </c>
    </row>
    <row r="3">
      <c r="CV3" s="1" t="s">
        <v>22</v>
      </c>
      <c r="CW3" s="1">
        <f>=IF(VLOOKUP(CV3,UnitSelections,2,FALSE) ="Not Applicable",0,60)</f>
      </c>
      <c r="CX3" s="1">
        <f>=Sum(CW3/TotalGHL)</f>
      </c>
      <c r="CY3" s="1">
        <f>=Sum(CX3*300)</f>
      </c>
      <c r="CZ3" s="1">
        <f>=Sum(0 % *CY3)</f>
      </c>
      <c r="DA3" s="1">
        <f>=Sum(50 % *CY3)</f>
      </c>
      <c r="DB3" s="1">
        <f>=Sum(60 % *CY3)</f>
      </c>
      <c r="DC3" s="1">
        <f>=Sum(72.5 % *CY3)</f>
      </c>
      <c r="DP3" s="1" t="s">
        <v>23</v>
      </c>
      <c r="DQ3" s="1">
        <v>0</v>
      </c>
      <c r="DR3" s="1">
        <v>0</v>
      </c>
      <c r="DS3" s="1">
        <v>0</v>
      </c>
      <c r="EJ3" s="1" t="s">
        <v>11</v>
      </c>
      <c r="EL3" s="1" t="s">
        <v>12</v>
      </c>
      <c r="FD3" s="1">
        <v>45</v>
      </c>
      <c r="FE3" s="1">
        <v>55</v>
      </c>
      <c r="FF3" s="1">
        <f>=IF(AND(RawUmsPercent*100&gt;=FD3,RawUmsPercent*100&lt;FE3),1, 0)</f>
      </c>
      <c r="FG3" s="1" t="s">
        <v>11</v>
      </c>
    </row>
    <row r="4">
      <c r="CV4" s="1" t="s">
        <v>24</v>
      </c>
      <c r="CW4" s="1">
        <f>=IF(VLOOKUP(CV4,UnitSelections,2,FALSE) ="Not Applicable",0,60)</f>
      </c>
      <c r="CX4" s="1">
        <f>=Sum(CW4/TotalGHL)</f>
      </c>
      <c r="CY4" s="1">
        <f>=Sum(CX4*300)</f>
      </c>
      <c r="CZ4" s="1">
        <f>=Sum(0 % *CY4)</f>
      </c>
      <c r="DA4" s="1">
        <f>=Sum(50 % *CY4)</f>
      </c>
      <c r="DB4" s="1">
        <f>=Sum(60 % *CY4)</f>
      </c>
      <c r="DC4" s="1">
        <f>=Sum(72.5 % *CY4)</f>
      </c>
      <c r="DP4" s="1" t="s">
        <v>25</v>
      </c>
      <c r="DQ4" s="1">
        <f>=vlookup("J/508/4583 - Exercise, Health and Lifestyle",RawScores,5,FALSE)</f>
      </c>
      <c r="DR4" s="1">
        <v>0</v>
      </c>
      <c r="DS4" s="1">
        <v>1</v>
      </c>
      <c r="EJ4" s="1" t="s">
        <v>12</v>
      </c>
      <c r="EL4" s="1" t="s">
        <v>13</v>
      </c>
      <c r="FD4" s="1">
        <v>55</v>
      </c>
      <c r="FE4" s="1">
        <v>65</v>
      </c>
      <c r="FF4" s="1">
        <f>=IF(AND(RawUmsPercent*100&gt;=FD4,RawUmsPercent*100&lt;FE4),1, 0)</f>
      </c>
      <c r="FG4" s="1" t="s">
        <v>12</v>
      </c>
    </row>
    <row r="5">
      <c r="E5" s="1" t="s">
        <v>26</v>
      </c>
      <c r="CW5" s="1">
        <f>=Sum(CW2:CW4)</f>
      </c>
      <c r="DP5" s="1" t="s">
        <v>27</v>
      </c>
      <c r="DQ5" s="1">
        <f>=vlookup("J/508/4583 - Exercise, Health and Lifestyle",RawScores,6,FALSE)</f>
      </c>
      <c r="DR5" s="1">
        <v>33.333333333333336</v>
      </c>
      <c r="DS5" s="1">
        <v>0</v>
      </c>
      <c r="EJ5" s="1" t="s">
        <v>13</v>
      </c>
      <c r="FD5" s="1">
        <v>65</v>
      </c>
      <c r="FE5" s="1">
        <v>100.01</v>
      </c>
      <c r="FF5" s="1">
        <f>=IF(AND(RawUmsPercent*100&gt;=FD5,RawUmsPercent*100&lt;FE5),1, 0)</f>
      </c>
      <c r="FG5" s="1" t="s">
        <v>13</v>
      </c>
    </row>
    <row r="6">
      <c r="E6" s="1" t="s">
        <v>28</v>
      </c>
      <c r="DP6" s="1" t="s">
        <v>29</v>
      </c>
      <c r="DQ6" s="1">
        <f>=vlookup("J/508/4583 - Exercise, Health and Lifestyle",RawScores,7,FALSE)</f>
      </c>
      <c r="DR6" s="1">
        <v>33.333333333333336</v>
      </c>
      <c r="DS6" s="1">
        <v>0</v>
      </c>
    </row>
    <row r="7">
      <c r="E7" s="1" t="s">
        <v>30</v>
      </c>
      <c r="F7" s="2">
        <f>=If(HasMet,(If(AND(COUNTIF(Selections,"Distinction")&gt;=3,COUNTIF(Selections,"Merit")=0,COUNTIF(Selections,"Pass")=0),"Distinction *",RawGrade)),"Not Yet Achieved") </f>
      </c>
      <c r="DP7" s="1" t="s">
        <v>31</v>
      </c>
      <c r="DQ7" s="1">
        <f>=vlookup("J/508/4583 - Exercise, Health and Lifestyle",RawScores,8,FALSE)</f>
      </c>
      <c r="DR7" s="1">
        <v>33.333333333333336</v>
      </c>
      <c r="DS7" s="1">
        <v>0</v>
      </c>
    </row>
    <row r="8">
      <c r="E8" s="1" t="s">
        <v>32</v>
      </c>
      <c r="DP8" s="1" t="s">
        <v>33</v>
      </c>
      <c r="DQ8" s="1">
        <v>0</v>
      </c>
      <c r="DR8" s="1">
        <v>0</v>
      </c>
      <c r="DS8" s="1">
        <v>0</v>
      </c>
    </row>
    <row r="9">
      <c r="DP9" s="1" t="s">
        <v>34</v>
      </c>
      <c r="DQ9" s="1">
        <v>0</v>
      </c>
      <c r="DR9" s="1">
        <v>0</v>
      </c>
      <c r="DS9" s="1">
        <v>0</v>
      </c>
    </row>
    <row r="10">
      <c r="DP10" s="1" t="s">
        <v>35</v>
      </c>
      <c r="DQ10" s="1">
        <f>=vlookup("D/508/4637 - Preparing for a Career in Sport and Physical Activity",RawScores,5,FALSE)</f>
      </c>
      <c r="DR10" s="1">
        <v>0</v>
      </c>
      <c r="DS10" s="1">
        <v>1</v>
      </c>
    </row>
    <row r="11">
      <c r="C11" s="1" t="s">
        <v>36</v>
      </c>
      <c r="D11" s="1" t="s">
        <v>37</v>
      </c>
      <c r="E11" s="1" t="s">
        <v>14</v>
      </c>
      <c r="F11" s="1" t="s">
        <v>38</v>
      </c>
      <c r="G11" s="1" t="s">
        <v>39</v>
      </c>
      <c r="H11" s="1" t="s">
        <v>1</v>
      </c>
      <c r="I11" s="1" t="s">
        <v>40</v>
      </c>
      <c r="J11" s="1" t="s">
        <v>3</v>
      </c>
      <c r="DP11" s="1" t="s">
        <v>41</v>
      </c>
      <c r="DQ11" s="1">
        <f>=vlookup("D/508/4637 - Preparing for a Career in Sport and Physical Activity",RawScores,6,FALSE)</f>
      </c>
      <c r="DR11" s="1">
        <v>33.333333333333336</v>
      </c>
      <c r="DS11" s="1">
        <v>0</v>
      </c>
    </row>
    <row r="12">
      <c r="C12" s="1">
        <v>1</v>
      </c>
      <c r="D12" s="1">
        <v>1</v>
      </c>
      <c r="E12" s="1" t="s">
        <v>20</v>
      </c>
      <c r="F12" s="3" t="s">
        <v>10</v>
      </c>
      <c r="G12" s="1" t="s">
        <v>42</v>
      </c>
      <c r="H12" s="1">
        <f>=VLOOKUP(E12 &amp; "_" &amp; F12, InternalAssessment, 2,FALSE)</f>
      </c>
      <c r="I12" s="1">
        <f>=VLOOKUP(E12 &amp; "_" &amp; F12, InternalAssessment, 3,FALSE)</f>
      </c>
      <c r="J12" s="1">
        <f>=VLOOKUP(E12 &amp; "_" &amp; F12, InternalAssessment, 4,FALSE)</f>
      </c>
      <c r="DP12" s="1" t="s">
        <v>43</v>
      </c>
      <c r="DQ12" s="1">
        <f>=vlookup("D/508/4637 - Preparing for a Career in Sport and Physical Activity",RawScores,7,FALSE)</f>
      </c>
      <c r="DR12" s="1">
        <v>33.333333333333336</v>
      </c>
      <c r="DS12" s="1">
        <v>0</v>
      </c>
    </row>
    <row r="13">
      <c r="C13" s="1">
        <v>1</v>
      </c>
      <c r="D13" s="1">
        <v>2</v>
      </c>
      <c r="E13" s="1" t="s">
        <v>22</v>
      </c>
      <c r="F13" s="3" t="s">
        <v>10</v>
      </c>
      <c r="G13" s="1" t="s">
        <v>42</v>
      </c>
      <c r="H13" s="1">
        <f>=VLOOKUP(E13 &amp; "_" &amp; F13, InternalAssessment, 2,FALSE)</f>
      </c>
      <c r="I13" s="1">
        <f>=VLOOKUP(E13 &amp; "_" &amp; F13, InternalAssessment, 3,FALSE)</f>
      </c>
      <c r="J13" s="1">
        <f>=VLOOKUP(E13 &amp; "_" &amp; F13, InternalAssessment, 4,FALSE)</f>
      </c>
      <c r="DP13" s="1" t="s">
        <v>44</v>
      </c>
      <c r="DQ13" s="1">
        <f>=vlookup("D/508/4637 - Preparing for a Career in Sport and Physical Activity",RawScores,8,FALSE)</f>
      </c>
      <c r="DR13" s="1">
        <v>33.333333333333336</v>
      </c>
      <c r="DS13" s="1">
        <v>0</v>
      </c>
    </row>
    <row r="14">
      <c r="C14" s="1">
        <v>1</v>
      </c>
      <c r="D14" s="1">
        <v>3</v>
      </c>
      <c r="E14" s="1" t="s">
        <v>24</v>
      </c>
      <c r="F14" s="3" t="s">
        <v>10</v>
      </c>
      <c r="G14" s="1" t="s">
        <v>42</v>
      </c>
      <c r="H14" s="1">
        <f>=VLOOKUP(E14 &amp; "_" &amp; F14, InternalAssessment, 2,FALSE)</f>
      </c>
      <c r="I14" s="1">
        <f>=VLOOKUP(E14 &amp; "_" &amp; F14, InternalAssessment, 3,FALSE)</f>
      </c>
      <c r="J14" s="1">
        <f>=VLOOKUP(E14 &amp; "_" &amp; F14, InternalAssessment, 4,FALSE)</f>
      </c>
      <c r="DP14" s="1" t="s">
        <v>45</v>
      </c>
      <c r="DQ14" s="1">
        <v>0</v>
      </c>
      <c r="DR14" s="1">
        <v>0</v>
      </c>
      <c r="DS14" s="1">
        <v>0</v>
      </c>
    </row>
    <row r="15">
      <c r="DP15" s="1" t="s">
        <v>46</v>
      </c>
      <c r="DQ15" s="1">
        <v>0</v>
      </c>
      <c r="DR15" s="1">
        <v>0</v>
      </c>
      <c r="DS15" s="1">
        <v>0</v>
      </c>
    </row>
    <row r="16">
      <c r="DP16" s="1" t="s">
        <v>47</v>
      </c>
      <c r="DQ16" s="1">
        <f>=vlookup("R/508/4585 - Principles and Practices in Outdoor Adventure",RawScores,5,FALSE)</f>
      </c>
      <c r="DR16" s="1">
        <v>0</v>
      </c>
      <c r="DS16" s="1">
        <v>1</v>
      </c>
    </row>
    <row r="17">
      <c r="DP17" s="1" t="s">
        <v>48</v>
      </c>
      <c r="DQ17" s="1">
        <f>=vlookup("R/508/4585 - Principles and Practices in Outdoor Adventure",RawScores,6,FALSE)</f>
      </c>
      <c r="DR17" s="1">
        <v>33.333333333333336</v>
      </c>
      <c r="DS17" s="1">
        <v>0</v>
      </c>
    </row>
    <row r="18">
      <c r="DP18" s="1" t="s">
        <v>49</v>
      </c>
      <c r="DQ18" s="1">
        <f>=vlookup("R/508/4585 - Principles and Practices in Outdoor Adventure",RawScores,7,FALSE)</f>
      </c>
      <c r="DR18" s="1">
        <v>33.333333333333336</v>
      </c>
      <c r="DS18" s="1">
        <v>0</v>
      </c>
    </row>
    <row r="19">
      <c r="DP19" s="1" t="s">
        <v>50</v>
      </c>
      <c r="DQ19" s="1">
        <f>=vlookup("R/508/4585 - Principles and Practices in Outdoor Adventure",RawScores,8,FALSE)</f>
      </c>
      <c r="DR19" s="1">
        <v>33.333333333333336</v>
      </c>
      <c r="DS19" s="1">
        <v>0</v>
      </c>
    </row>
  </sheetData>
  <sheetProtection sheet="1" password="a096" formatColumns="0"/>
  <dataValidations count="3">
    <dataValidation type="list" sqref="F12" showErrorMessage="1" allowBlank="1" errorStyle="stop" errorTitle="Error" error="Selection not valid">
      <formula1>=MandatoryGrades</formula1>
    </dataValidation>
    <dataValidation type="list" sqref="F13" showErrorMessage="1" allowBlank="1" errorStyle="stop" errorTitle="Error" error="Selection not valid">
      <formula1>=MandatoryGrades</formula1>
    </dataValidation>
    <dataValidation type="list" sqref="F14" showErrorMessage="1" allowBlank="1" errorStyle="stop" errorTitle="Error" error="Selection not valid">
      <formula1>=MandatoryGrades</formula1>
    </dataValidation>
  </dataValidations>
  <headerFooter/>
  <drawing r:id="rId1"/>
</worksheet>
</file>