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Grade'!$C$12:$C$42</definedName>
    <definedName name="Selections" localSheetId="0">'Qualification Grade'!$F$12:$F$41</definedName>
    <definedName name="UMSGroup" localSheetId="0">'Qualification Grade'!$H$12:$H$41</definedName>
    <definedName name="MandatoryScoreGroup" localSheetId="0">'Qualification Grade'!$I$12:$I$41</definedName>
    <definedName name="HurdleGroup" localSheetId="0">'Qualification Grade'!$J$12:$J$41</definedName>
    <definedName name="UnitSelections" localSheetId="0">'Qualification Grade'!$E$11:$F$41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Grade'!$CV$1:$DC$31</definedName>
    <definedName name="TotalGHL" localSheetId="0">'Qualification Grade'!$CW$32</definedName>
    <definedName name="InternalAssessment" localSheetId="0">'Qualification Grade'!$DP$1:$DS$181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<sst xmlns="http://schemas.openxmlformats.org/spreadsheetml/2006/main" count="242" uniqueCount="242">
  <si>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</si>
  <si>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</si>
  <si>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</si>
  <si>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</si>
  <si>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</si>
  <si>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</si>
  <si>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</si>
  <si>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</si>
  <si>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</si>
  <si>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</si>
  <si>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</si>
  <si>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</si>
  <si>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</si>
  <si>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</si>
  <si>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</si>
  <si>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</si>
  <si>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</si>
  <si>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</si>
  <si>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</si>
  <si>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</si>
  <si>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</si>
  <si>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</si>
  <si>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</si>
  <si>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</si>
  <si>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</si>
  <si>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L/508/4584 - Principles of Anatomy and Physiology</t>
  </si>
  <si>
    <t>J/508/4583 - Exercise, Health and Lifestyle_Not Yet Achieved</t>
  </si>
  <si>
    <t>Grading Calculator</t>
  </si>
  <si>
    <t>T/508/4627 - Applied Exercise Physiology</t>
  </si>
  <si>
    <t>J/508/4583 - Exercise, Health and Lifestyle_Pass</t>
  </si>
  <si>
    <t>601/8881/9/SES - NCFE Level 3 Diploma (540) in Sport and Physical Activity (Sport and Exercise Science)</t>
  </si>
  <si>
    <t>M/508/4626 - Biomechanics</t>
  </si>
  <si>
    <t>J/508/4583 - Exercise, Health and Lifestyle_Merit</t>
  </si>
  <si>
    <t>Estimated Final Grade</t>
  </si>
  <si>
    <t>H/508/4591 - Fitness Testing for Sport and Exercise</t>
  </si>
  <si>
    <t>J/508/4583 - Exercise, Health and Lifestyle_Distinction</t>
  </si>
  <si>
    <t>Learners are required to successfully complete 3 mandatory units and 6 optional units.</t>
  </si>
  <si>
    <t>F/508/4632 - Laboratory and Field Based Experiment Methods</t>
  </si>
  <si>
    <t>D/508/4637 - Preparing for a Career in Sport and Physical Activity_</t>
  </si>
  <si>
    <t>Y/508/4605 - Research Project in Sport and Exercise Sciences</t>
  </si>
  <si>
    <t>D/508/4637 - Preparing for a Career in Sport and Physical Activity_Not Applicable</t>
  </si>
  <si>
    <t>K/508/4592 - Psychology for Sports Performance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</si>
  <si>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</si>
  <si>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</si>
  <si>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</si>
  <si>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</si>
  <si>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</si>
  <si>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</si>
  <si>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K/508/4625 - Applied Sports Psychology</t>
  </si>
  <si>
    <t>D/508/4637 - Preparing for a Career in Sport and Physical Activity_Pass</t>
  </si>
  <si>
    <t>Yes</t>
  </si>
  <si>
    <t>D/508/4587 - Practical Team Sports</t>
  </si>
  <si>
    <t>D/508/4637 - Preparing for a Career in Sport and Physical Activity_Merit</t>
  </si>
  <si>
    <t>H/508/4588 - Practical Individual Sports</t>
  </si>
  <si>
    <t>D/508/4637 - Preparing for a Career in Sport and Physical Activity_Distinction</t>
  </si>
  <si>
    <t>K/508/4589 - The Physiology of Fitness</t>
  </si>
  <si>
    <t>L/508/4584 - Principles of Anatomy and Physiology_</t>
  </si>
  <si>
    <t>No</t>
  </si>
  <si>
    <t>F/508/4582 - Assessing Risk in Sport</t>
  </si>
  <si>
    <t>L/508/4584 - Principles of Anatomy and Physiology_Not Applicable</t>
  </si>
  <si>
    <t>D/508/4590 - Fitness Training and Programming</t>
  </si>
  <si>
    <t>L/508/4584 - Principles of Anatomy and Physiology_Not Yet Achieved</t>
  </si>
  <si>
    <t>Y/508/4622 - Sports Nutrition</t>
  </si>
  <si>
    <t>L/508/4584 - Principles of Anatomy and Physiology_Pass</t>
  </si>
  <si>
    <t>M/508/4593 - Technical and Tactical Skills in Sport</t>
  </si>
  <si>
    <t>L/508/4584 - Principles of Anatomy and Physiology_Merit</t>
  </si>
  <si>
    <t>T/508/4594 - The Athlete's Lifestyle</t>
  </si>
  <si>
    <t>L/508/4584 - Principles of Anatomy and Physiology_Distinction</t>
  </si>
  <si>
    <t>A/508/4595 - Current Issues in Sport</t>
  </si>
  <si>
    <t>T/508/4627 - Applied Exercise Physiology_</t>
  </si>
  <si>
    <t>F/508/4596 - Instructing Physical Activity and Exercise</t>
  </si>
  <si>
    <t>T/508/4627 - Applied Exercise Physiology_Not Applicable</t>
  </si>
  <si>
    <t>J/508/4597 - Sports Injuries</t>
  </si>
  <si>
    <t>T/508/4627 - Applied Exercise Physiology_Not Yet Achieved</t>
  </si>
  <si>
    <t>D/508/4122 - Sports Coaching</t>
  </si>
  <si>
    <t>T/508/4627 - Applied Exercise Physiology_Pass</t>
  </si>
  <si>
    <t>R/508/4599 - Leadership in Sport</t>
  </si>
  <si>
    <t>T/508/4627 - Applied Exercise Physiology_Merit</t>
  </si>
  <si>
    <t>A/508/4600 - Analysis of Sports Performance</t>
  </si>
  <si>
    <t>T/508/4627 - Applied Exercise Physiology_Distinction</t>
  </si>
  <si>
    <t>F/508/4601 - Ethics and Values in Sport</t>
  </si>
  <si>
    <t>M/508/4626 - Biomechanics_</t>
  </si>
  <si>
    <t>L/508/4603 - Sport and Exercise Massage</t>
  </si>
  <si>
    <t>M/508/4626 - Biomechanics_Not Applicable</t>
  </si>
  <si>
    <t>R/508/4604 - Organising Sports Events</t>
  </si>
  <si>
    <t>M/508/4626 - Biomechanics_Not Yet Achieved</t>
  </si>
  <si>
    <t>D/508/4606 - Applied Strength and Conditioning</t>
  </si>
  <si>
    <t>M/508/4626 - Biomechanics_Pass</t>
  </si>
  <si>
    <t>D/508/4623 - Personal and Professional Development</t>
  </si>
  <si>
    <t>M/508/4626 - Biomechanics_Merit</t>
  </si>
  <si>
    <t>Y/508/4586 - Work Experience in Sport</t>
  </si>
  <si>
    <t>M/508/4626 - Biomechanics_Distinction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</si>
  <si>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</si>
  <si>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</si>
  <si>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</si>
  <si>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</si>
  <si>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</si>
  <si>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</si>
  <si>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F/508/4632 - Laboratory and Field Based Experiment Methods_</t>
  </si>
  <si>
    <t>F/508/4632 - Laboratory and Field Based Experiment Methods_Not Applicable</t>
  </si>
  <si>
    <t>F/508/4632 - Laboratory and Field Based Experiment Methods_Not Yet Achieved</t>
  </si>
  <si>
    <t>F/508/4632 - Laboratory and Field Based Experiment Methods_Pass</t>
  </si>
  <si>
    <t>F/508/4632 - Laboratory and Field Based Experiment Methods_Merit</t>
  </si>
  <si>
    <t>F/508/4632 - Laboratory and Field Based Experiment Methods_Distinction</t>
  </si>
  <si>
    <t>Y/508/4605 - Research Project in Sport and Exercise Sciences_</t>
  </si>
  <si>
    <t>Y/508/4605 - Research Project in Sport and Exercise Sciences_Not Applicable</t>
  </si>
  <si>
    <t>Y/508/4605 - Research Project in Sport and Exercise Sciences_Not Yet Achieved</t>
  </si>
  <si>
    <t>Y/508/4605 - Research Project in Sport and Exercise Sciences_Pass</t>
  </si>
  <si>
    <t>Y/508/4605 - Research Project in Sport and Exercise Sciences_Merit</t>
  </si>
  <si>
    <t>Y/508/4605 - Research Project in Sport and Exercise Sciences_Distinction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</si>
  <si>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</si>
  <si>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</si>
  <si>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</si>
  <si>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</si>
  <si>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</si>
  <si>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</si>
  <si>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K/508/4625 - Applied Sports Psychology_</t>
  </si>
  <si>
    <t>K/508/4625 - Applied Sports Psychology_Not Applicable</t>
  </si>
  <si>
    <t>K/508/4625 - Applied Sports Psychology_Not Yet Achieved</t>
  </si>
  <si>
    <t>K/508/4625 - Applied Sports Psychology_Pass</t>
  </si>
  <si>
    <t>K/508/4625 - Applied Sports Psychology_Merit</t>
  </si>
  <si>
    <t>K/508/4625 - Applied Sports Psychology_Distinction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</si>
  <si>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</si>
  <si>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</si>
  <si>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</si>
  <si>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</si>
  <si>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</si>
  <si>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</si>
  <si>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</si>
  <si>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</si>
  <si>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</si>
  <si>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</si>
  <si>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</si>
  <si>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</si>
  <si>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K/508/4589 - The Physiology of Fitness_</t>
  </si>
  <si>
    <t>K/508/4589 - The Physiology of Fitness_Not Applicable</t>
  </si>
  <si>
    <t>K/508/4589 - The Physiology of Fitness_Not Yet Achieved</t>
  </si>
  <si>
    <t>K/508/4589 - The Physiology of Fitness_Pass</t>
  </si>
  <si>
    <t>K/508/4589 - The Physiology of Fitness_Merit</t>
  </si>
  <si>
    <t>K/508/4589 - The Physiology of Fitness_Distinction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</si>
  <si>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</si>
  <si>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</si>
  <si>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</si>
  <si>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</si>
  <si>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</si>
  <si>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</si>
  <si>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</si>
  <si>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</si>
  <si>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</si>
  <si>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</si>
  <si>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</si>
  <si>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</si>
  <si>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</si>
  <si>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</si>
  <si>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</si>
  <si>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</si>
  <si>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</si>
  <si>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</si>
  <si>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M/508/4593 - Technical and Tactical Skills in Sport_</t>
  </si>
  <si>
    <t>M/508/4593 - Technical and Tactical Skills in Sport_Not Applicable</t>
  </si>
  <si>
    <t>M/508/4593 - Technical and Tactical Skills in Sport_Not Yet Achieved</t>
  </si>
  <si>
    <t>M/508/4593 - Technical and Tactical Skills in Sport_Pass</t>
  </si>
  <si>
    <t>M/508/4593 - Technical and Tactical Skills in Sport_Merit</t>
  </si>
  <si>
    <t>M/508/4593 - Technical and Tactical Skills in Sport_Distinction</t>
  </si>
  <si>
    <t>T/508/4594 - The Athlete's Lifestyle_</t>
  </si>
  <si>
    <t>T/508/4594 - The Athlete's Lifestyle_Not Applicable</t>
  </si>
  <si>
    <t>T/508/4594 - The Athlete's Lifestyle_Not Yet Achieved</t>
  </si>
  <si>
    <t>T/508/4594 - The Athlete's Lifestyle_Pass</t>
  </si>
  <si>
    <t>T/508/4594 - The Athlete's Lifestyle_Merit</t>
  </si>
  <si>
    <t>T/508/4594 - The Athlete's Lifestyle_Distinction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</si>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</sst>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81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75.5114222935268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=Sum(UMSGroup)/900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=Sum(CX2*900)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=Sum(CX3*900)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=Sum(CX4*900)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=Sum(CX5*900)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=Sum(CX6*900)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33</v>
      </c>
      <c r="F7" s="2">
        <f>=If(HasMet,(If(AND(COUNTIF(Selections,"Distinction")&gt;=3,COUNTIF(Selections,"Merit")=0,COUNTIF(Selections,"Pass")=0),"Distinction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=Sum(CX7*900)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=Sum(CX8*900)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=Sum(CX9*900)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=Sum(CX10*900)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=Sum(CX11*900)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=Sum(CX12*900)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=Sum(CX13*900)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=Sum(CX14*900)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=Sum(CX15*900)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=Sum(CX16*900)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=vlookup("L/508/4584 - Principles of Anatomy and Physiology",RawScores,5,FALSE)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=Sum(CX17*900)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=vlookup("L/508/4584 - Principles of Anatomy and Physiology",RawScores,6,FALSE)</f>
      </c>
      <c r="DR17" s="1">
        <v>33.333333333333336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=Sum(CX18*900)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=vlookup("L/508/4584 - Principles of Anatomy and Physiology",RawScores,7,FALSE)</f>
      </c>
      <c r="DR18" s="1">
        <v>33.333333333333336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=Sum(CX19*900)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=vlookup("L/508/4584 - Principles of Anatomy and Physiology",RawScores,8,FALSE)</f>
      </c>
      <c r="DR19" s="1">
        <v>33.333333333333336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=Sum(CX20*900)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=Sum(CX21*900)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=Sum(CX22*900)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=vlookup("T/508/4627 - Applied Exercise Physiology",RawScores,5,FALSE)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=Sum(CX23*900)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=vlookup("T/508/4627 - Applied Exercise Physiology",RawScores,6,FALSE)</f>
      </c>
      <c r="DR23" s="1">
        <v>16.666666666666668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=Sum(CX24*900)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=vlookup("T/508/4627 - Applied Exercise Physiology",RawScores,7,FALSE)</f>
      </c>
      <c r="DR24" s="1">
        <v>16.666666666666668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=Sum(CX25*900)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=vlookup("T/508/4627 - Applied Exercise Physiology",RawScores,8,FALSE)</f>
      </c>
      <c r="DR25" s="1">
        <v>16.666666666666668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=Sum(CX26*900)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V27" s="1" t="s">
        <v>82</v>
      </c>
      <c r="CW27" s="1">
        <f>=IF(VLOOKUP(CV27,UnitSelections,2,FALSE) ="Not Applicable",0,60)</f>
      </c>
      <c r="CX27" s="1">
        <f>=Sum(CW27/TotalGHL)</f>
      </c>
      <c r="CY27" s="1">
        <f>=Sum(CX27*900)</f>
      </c>
      <c r="CZ27" s="1">
        <f>=Sum(0 % *CY27)</f>
      </c>
      <c r="DA27" s="1">
        <f>=Sum(50 % *CY27)</f>
      </c>
      <c r="DB27" s="1">
        <f>=Sum(60 % *CY27)</f>
      </c>
      <c r="DC27" s="1">
        <f>=Sum(72.5 % *CY27)</f>
      </c>
      <c r="DP27" s="1" t="s">
        <v>83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CV28" s="1" t="s">
        <v>84</v>
      </c>
      <c r="CW28" s="1">
        <f>=IF(VLOOKUP(CV28,UnitSelections,2,FALSE) ="Not Applicable",0,60)</f>
      </c>
      <c r="CX28" s="1">
        <f>=Sum(CW28/TotalGHL)</f>
      </c>
      <c r="CY28" s="1">
        <f>=Sum(CX28*900)</f>
      </c>
      <c r="CZ28" s="1">
        <f>=Sum(0 % *CY28)</f>
      </c>
      <c r="DA28" s="1">
        <f>=Sum(50 % *CY28)</f>
      </c>
      <c r="DB28" s="1">
        <f>=Sum(60 % *CY28)</f>
      </c>
      <c r="DC28" s="1">
        <f>=Sum(72.5 % *CY28)</f>
      </c>
      <c r="DP28" s="1" t="s">
        <v>85</v>
      </c>
      <c r="DQ28" s="1">
        <f>=vlookup("M/508/4626 - Biomechanics",RawScores,5,FALSE)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CV29" s="1" t="s">
        <v>86</v>
      </c>
      <c r="CW29" s="1">
        <f>=IF(VLOOKUP(CV29,UnitSelections,2,FALSE) ="Not Applicable",0,60)</f>
      </c>
      <c r="CX29" s="1">
        <f>=Sum(CW29/TotalGHL)</f>
      </c>
      <c r="CY29" s="1">
        <f>=Sum(CX29*900)</f>
      </c>
      <c r="CZ29" s="1">
        <f>=Sum(0 % *CY29)</f>
      </c>
      <c r="DA29" s="1">
        <f>=Sum(50 % *CY29)</f>
      </c>
      <c r="DB29" s="1">
        <f>=Sum(60 % *CY29)</f>
      </c>
      <c r="DC29" s="1">
        <f>=Sum(72.5 % *CY29)</f>
      </c>
      <c r="DP29" s="1" t="s">
        <v>87</v>
      </c>
      <c r="DQ29" s="1">
        <f>=vlookup("M/508/4626 - Biomechanics",RawScores,6,FALSE)</f>
      </c>
      <c r="DR29" s="1">
        <v>16.666666666666668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CV30" s="1" t="s">
        <v>88</v>
      </c>
      <c r="CW30" s="1">
        <f>=IF(VLOOKUP(CV30,UnitSelections,2,FALSE) ="Not Applicable",0,60)</f>
      </c>
      <c r="CX30" s="1">
        <f>=Sum(CW30/TotalGHL)</f>
      </c>
      <c r="CY30" s="1">
        <f>=Sum(CX30*900)</f>
      </c>
      <c r="CZ30" s="1">
        <f>=Sum(0 % *CY30)</f>
      </c>
      <c r="DA30" s="1">
        <f>=Sum(50 % *CY30)</f>
      </c>
      <c r="DB30" s="1">
        <f>=Sum(60 % *CY30)</f>
      </c>
      <c r="DC30" s="1">
        <f>=Sum(72.5 % *CY30)</f>
      </c>
      <c r="DP30" s="1" t="s">
        <v>89</v>
      </c>
      <c r="DQ30" s="1">
        <f>=vlookup("M/508/4626 - Biomechanics",RawScores,7,FALSE)</f>
      </c>
      <c r="DR30" s="1">
        <v>16.666666666666668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CV31" s="1" t="s">
        <v>90</v>
      </c>
      <c r="CW31" s="1">
        <f>=IF(VLOOKUP(CV31,UnitSelections,2,FALSE) ="Not Applicable",0,60)</f>
      </c>
      <c r="CX31" s="1">
        <f>=Sum(CW31/TotalGHL)</f>
      </c>
      <c r="CY31" s="1">
        <f>=Sum(CX31*900)</f>
      </c>
      <c r="CZ31" s="1">
        <f>=Sum(0 % *CY31)</f>
      </c>
      <c r="DA31" s="1">
        <f>=Sum(50 % *CY31)</f>
      </c>
      <c r="DB31" s="1">
        <f>=Sum(60 % *CY31)</f>
      </c>
      <c r="DC31" s="1">
        <f>=Sum(72.5 % *CY31)</f>
      </c>
      <c r="DP31" s="1" t="s">
        <v>91</v>
      </c>
      <c r="DQ31" s="1">
        <f>=vlookup("M/508/4626 - Biomechanics",RawScores,8,FALSE)</f>
      </c>
      <c r="DR31" s="1">
        <v>16.666666666666668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CW32" s="1">
        <f>=Sum(CW2:CW31)</f>
      </c>
      <c r="DP32" s="1" t="s">
        <v>92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DP33" s="1" t="s">
        <v>93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94</v>
      </c>
      <c r="DQ34" s="1">
        <f>=vlookup("H/508/4591 - Fitness Testing for Sport and Exercise",RawScores,5,FALSE)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95</v>
      </c>
      <c r="DQ35" s="1">
        <f>=vlookup("H/508/4591 - Fitness Testing for Sport and Exercise",RawScores,6,FALSE)</f>
      </c>
      <c r="DR35" s="1">
        <v>16.666666666666668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96</v>
      </c>
      <c r="DQ36" s="1">
        <f>=vlookup("H/508/4591 - Fitness Testing for Sport and Exercise",RawScores,7,FALSE)</f>
      </c>
      <c r="DR36" s="1">
        <v>16.666666666666668</v>
      </c>
      <c r="DS36" s="1">
        <v>0</v>
      </c>
    </row>
    <row r="37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>=VLOOKUP(E37 &amp; "_" &amp; F37, InternalAssessment, 2,FALSE)</f>
      </c>
      <c r="I37" s="1">
        <f>=VLOOKUP(E37 &amp; "_" &amp; F37, InternalAssessment, 3,FALSE)</f>
      </c>
      <c r="J37" s="1">
        <f>=VLOOKUP(E37 &amp; "_" &amp; F37, InternalAssessment, 4,FALSE)</f>
      </c>
      <c r="DP37" s="1" t="s">
        <v>97</v>
      </c>
      <c r="DQ37" s="1">
        <f>=vlookup("H/508/4591 - Fitness Testing for Sport and Exercise",RawScores,8,FALSE)</f>
      </c>
      <c r="DR37" s="1">
        <v>16.666666666666668</v>
      </c>
      <c r="DS37" s="1">
        <v>0</v>
      </c>
    </row>
    <row r="38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>=VLOOKUP(E38 &amp; "_" &amp; F38, InternalAssessment, 2,FALSE)</f>
      </c>
      <c r="I38" s="1">
        <f>=VLOOKUP(E38 &amp; "_" &amp; F38, InternalAssessment, 3,FALSE)</f>
      </c>
      <c r="J38" s="1">
        <f>=VLOOKUP(E38 &amp; "_" &amp; F38, InternalAssessment, 4,FALSE)</f>
      </c>
      <c r="DP38" s="1" t="s">
        <v>98</v>
      </c>
      <c r="DQ38" s="1">
        <v>0</v>
      </c>
      <c r="DR38" s="1">
        <v>0</v>
      </c>
      <c r="DS38" s="1">
        <v>0</v>
      </c>
    </row>
    <row r="39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>=VLOOKUP(E39 &amp; "_" &amp; F39, InternalAssessment, 2,FALSE)</f>
      </c>
      <c r="I39" s="1">
        <f>=VLOOKUP(E39 &amp; "_" &amp; F39, InternalAssessment, 3,FALSE)</f>
      </c>
      <c r="J39" s="1">
        <f>=VLOOKUP(E39 &amp; "_" &amp; F39, InternalAssessment, 4,FALSE)</f>
      </c>
      <c r="DP39" s="1" t="s">
        <v>99</v>
      </c>
      <c r="DQ39" s="1">
        <v>0</v>
      </c>
      <c r="DR39" s="1">
        <v>0</v>
      </c>
      <c r="DS39" s="1">
        <v>0</v>
      </c>
    </row>
    <row r="40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>=VLOOKUP(E40 &amp; "_" &amp; F40, InternalAssessment, 2,FALSE)</f>
      </c>
      <c r="I40" s="1">
        <f>=VLOOKUP(E40 &amp; "_" &amp; F40, InternalAssessment, 3,FALSE)</f>
      </c>
      <c r="J40" s="1">
        <f>=VLOOKUP(E40 &amp; "_" &amp; F40, InternalAssessment, 4,FALSE)</f>
      </c>
      <c r="DP40" s="1" t="s">
        <v>100</v>
      </c>
      <c r="DQ40" s="1">
        <f>=vlookup("F/508/4632 - Laboratory and Field Based Experiment Methods",RawScores,5,FALSE)</f>
      </c>
      <c r="DR40" s="1">
        <v>0</v>
      </c>
      <c r="DS40" s="1">
        <v>1</v>
      </c>
    </row>
    <row r="41">
      <c r="C41" s="1">
        <v>2</v>
      </c>
      <c r="D41" s="1">
        <v>30</v>
      </c>
      <c r="E41" s="1" t="s">
        <v>90</v>
      </c>
      <c r="F41" s="3" t="s">
        <v>17</v>
      </c>
      <c r="G41" s="1" t="s">
        <v>57</v>
      </c>
      <c r="H41" s="1">
        <f>=VLOOKUP(E41 &amp; "_" &amp; F41, InternalAssessment, 2,FALSE)</f>
      </c>
      <c r="I41" s="1">
        <f>=VLOOKUP(E41 &amp; "_" &amp; F41, InternalAssessment, 3,FALSE)</f>
      </c>
      <c r="J41" s="1">
        <f>=VLOOKUP(E41 &amp; "_" &amp; F41, InternalAssessment, 4,FALSE)</f>
      </c>
      <c r="DP41" s="1" t="s">
        <v>101</v>
      </c>
      <c r="DQ41" s="1">
        <f>=vlookup("F/508/4632 - Laboratory and Field Based Experiment Methods",RawScores,6,FALSE)</f>
      </c>
      <c r="DR41" s="1">
        <v>16.666666666666668</v>
      </c>
      <c r="DS41" s="1">
        <v>0</v>
      </c>
    </row>
    <row r="42">
      <c r="DP42" s="1" t="s">
        <v>102</v>
      </c>
      <c r="DQ42" s="1">
        <f>=vlookup("F/508/4632 - Laboratory and Field Based Experiment Methods",RawScores,7,FALSE)</f>
      </c>
      <c r="DR42" s="1">
        <v>16.666666666666668</v>
      </c>
      <c r="DS42" s="1">
        <v>0</v>
      </c>
    </row>
    <row r="43">
      <c r="DP43" s="1" t="s">
        <v>103</v>
      </c>
      <c r="DQ43" s="1">
        <f>=vlookup("F/508/4632 - Laboratory and Field Based Experiment Methods",RawScores,8,FALSE)</f>
      </c>
      <c r="DR43" s="1">
        <v>16.666666666666668</v>
      </c>
      <c r="DS43" s="1">
        <v>0</v>
      </c>
    </row>
    <row r="44">
      <c r="DP44" s="1" t="s">
        <v>104</v>
      </c>
      <c r="DQ44" s="1">
        <v>0</v>
      </c>
      <c r="DR44" s="1">
        <v>0</v>
      </c>
      <c r="DS44" s="1">
        <v>0</v>
      </c>
    </row>
    <row r="45">
      <c r="DP45" s="1" t="s">
        <v>105</v>
      </c>
      <c r="DQ45" s="1">
        <v>0</v>
      </c>
      <c r="DR45" s="1">
        <v>0</v>
      </c>
      <c r="DS45" s="1">
        <v>0</v>
      </c>
    </row>
    <row r="46">
      <c r="DP46" s="1" t="s">
        <v>106</v>
      </c>
      <c r="DQ46" s="1">
        <f>=vlookup("Y/508/4605 - Research Project in Sport and Exercise Sciences",RawScores,5,FALSE)</f>
      </c>
      <c r="DR46" s="1">
        <v>0</v>
      </c>
      <c r="DS46" s="1">
        <v>1</v>
      </c>
    </row>
    <row r="47">
      <c r="DP47" s="1" t="s">
        <v>107</v>
      </c>
      <c r="DQ47" s="1">
        <f>=vlookup("Y/508/4605 - Research Project in Sport and Exercise Sciences",RawScores,6,FALSE)</f>
      </c>
      <c r="DR47" s="1">
        <v>16.666666666666668</v>
      </c>
      <c r="DS47" s="1">
        <v>0</v>
      </c>
    </row>
    <row r="48">
      <c r="DP48" s="1" t="s">
        <v>108</v>
      </c>
      <c r="DQ48" s="1">
        <f>=vlookup("Y/508/4605 - Research Project in Sport and Exercise Sciences",RawScores,7,FALSE)</f>
      </c>
      <c r="DR48" s="1">
        <v>16.666666666666668</v>
      </c>
      <c r="DS48" s="1">
        <v>0</v>
      </c>
    </row>
    <row r="49">
      <c r="DP49" s="1" t="s">
        <v>109</v>
      </c>
      <c r="DQ49" s="1">
        <f>=vlookup("Y/508/4605 - Research Project in Sport and Exercise Sciences",RawScores,8,FALSE)</f>
      </c>
      <c r="DR49" s="1">
        <v>16.666666666666668</v>
      </c>
      <c r="DS49" s="1">
        <v>0</v>
      </c>
    </row>
    <row r="50">
      <c r="DP50" s="1" t="s">
        <v>110</v>
      </c>
      <c r="DQ50" s="1">
        <v>0</v>
      </c>
      <c r="DR50" s="1">
        <v>0</v>
      </c>
      <c r="DS50" s="1">
        <v>0</v>
      </c>
    </row>
    <row r="51">
      <c r="DP51" s="1" t="s">
        <v>111</v>
      </c>
      <c r="DQ51" s="1">
        <v>0</v>
      </c>
      <c r="DR51" s="1">
        <v>0</v>
      </c>
      <c r="DS51" s="1">
        <v>0</v>
      </c>
    </row>
    <row r="52">
      <c r="DP52" s="1" t="s">
        <v>112</v>
      </c>
      <c r="DQ52" s="1">
        <f>=vlookup("K/508/4592 - Psychology for Sports Performance",RawScores,5,FALSE)</f>
      </c>
      <c r="DR52" s="1">
        <v>0</v>
      </c>
      <c r="DS52" s="1">
        <v>1</v>
      </c>
    </row>
    <row r="53">
      <c r="DP53" s="1" t="s">
        <v>113</v>
      </c>
      <c r="DQ53" s="1">
        <f>=vlookup("K/508/4592 - Psychology for Sports Performance",RawScores,6,FALSE)</f>
      </c>
      <c r="DR53" s="1">
        <v>16.666666666666668</v>
      </c>
      <c r="DS53" s="1">
        <v>0</v>
      </c>
    </row>
    <row r="54">
      <c r="DP54" s="1" t="s">
        <v>114</v>
      </c>
      <c r="DQ54" s="1">
        <f>=vlookup("K/508/4592 - Psychology for Sports Performance",RawScores,7,FALSE)</f>
      </c>
      <c r="DR54" s="1">
        <v>16.666666666666668</v>
      </c>
      <c r="DS54" s="1">
        <v>0</v>
      </c>
    </row>
    <row r="55">
      <c r="DP55" s="1" t="s">
        <v>115</v>
      </c>
      <c r="DQ55" s="1">
        <f>=vlookup("K/508/4592 - Psychology for Sports Performance",RawScores,8,FALSE)</f>
      </c>
      <c r="DR55" s="1">
        <v>16.666666666666668</v>
      </c>
      <c r="DS55" s="1">
        <v>0</v>
      </c>
    </row>
    <row r="56">
      <c r="DP56" s="1" t="s">
        <v>116</v>
      </c>
      <c r="DQ56" s="1">
        <v>0</v>
      </c>
      <c r="DR56" s="1">
        <v>0</v>
      </c>
      <c r="DS56" s="1">
        <v>0</v>
      </c>
    </row>
    <row r="57">
      <c r="DP57" s="1" t="s">
        <v>117</v>
      </c>
      <c r="DQ57" s="1">
        <v>0</v>
      </c>
      <c r="DR57" s="1">
        <v>0</v>
      </c>
      <c r="DS57" s="1">
        <v>0</v>
      </c>
    </row>
    <row r="58">
      <c r="DP58" s="1" t="s">
        <v>118</v>
      </c>
      <c r="DQ58" s="1">
        <f>=vlookup("K/508/4625 - Applied Sports Psychology",RawScores,5,FALSE)</f>
      </c>
      <c r="DR58" s="1">
        <v>0</v>
      </c>
      <c r="DS58" s="1">
        <v>1</v>
      </c>
    </row>
    <row r="59">
      <c r="DP59" s="1" t="s">
        <v>119</v>
      </c>
      <c r="DQ59" s="1">
        <f>=vlookup("K/508/4625 - Applied Sports Psychology",RawScores,6,FALSE)</f>
      </c>
      <c r="DR59" s="1">
        <v>16.666666666666668</v>
      </c>
      <c r="DS59" s="1">
        <v>0</v>
      </c>
    </row>
    <row r="60">
      <c r="DP60" s="1" t="s">
        <v>120</v>
      </c>
      <c r="DQ60" s="1">
        <f>=vlookup("K/508/4625 - Applied Sports Psychology",RawScores,7,FALSE)</f>
      </c>
      <c r="DR60" s="1">
        <v>16.666666666666668</v>
      </c>
      <c r="DS60" s="1">
        <v>0</v>
      </c>
    </row>
    <row r="61">
      <c r="DP61" s="1" t="s">
        <v>121</v>
      </c>
      <c r="DQ61" s="1">
        <f>=vlookup("K/508/4625 - Applied Sports Psychology",RawScores,8,FALSE)</f>
      </c>
      <c r="DR61" s="1">
        <v>16.666666666666668</v>
      </c>
      <c r="DS61" s="1">
        <v>0</v>
      </c>
    </row>
    <row r="62">
      <c r="DP62" s="1" t="s">
        <v>122</v>
      </c>
      <c r="DQ62" s="1">
        <v>0</v>
      </c>
      <c r="DR62" s="1">
        <v>0</v>
      </c>
      <c r="DS62" s="1">
        <v>0</v>
      </c>
    </row>
    <row r="63">
      <c r="DP63" s="1" t="s">
        <v>123</v>
      </c>
      <c r="DQ63" s="1">
        <v>0</v>
      </c>
      <c r="DR63" s="1">
        <v>0</v>
      </c>
      <c r="DS63" s="1">
        <v>0</v>
      </c>
    </row>
    <row r="64">
      <c r="DP64" s="1" t="s">
        <v>124</v>
      </c>
      <c r="DQ64" s="1">
        <f>=vlookup("D/508/4587 - Practical Team Sports",RawScores,5,FALSE)</f>
      </c>
      <c r="DR64" s="1">
        <v>0</v>
      </c>
      <c r="DS64" s="1">
        <v>1</v>
      </c>
    </row>
    <row r="65">
      <c r="DP65" s="1" t="s">
        <v>125</v>
      </c>
      <c r="DQ65" s="1">
        <f>=vlookup("D/508/4587 - Practical Team Sports",RawScores,6,FALSE)</f>
      </c>
      <c r="DR65" s="1">
        <v>16.666666666666668</v>
      </c>
      <c r="DS65" s="1">
        <v>0</v>
      </c>
    </row>
    <row r="66">
      <c r="DP66" s="1" t="s">
        <v>126</v>
      </c>
      <c r="DQ66" s="1">
        <f>=vlookup("D/508/4587 - Practical Team Sports",RawScores,7,FALSE)</f>
      </c>
      <c r="DR66" s="1">
        <v>16.666666666666668</v>
      </c>
      <c r="DS66" s="1">
        <v>0</v>
      </c>
    </row>
    <row r="67">
      <c r="DP67" s="1" t="s">
        <v>127</v>
      </c>
      <c r="DQ67" s="1">
        <f>=vlookup("D/508/4587 - Practical Team Sports",RawScores,8,FALSE)</f>
      </c>
      <c r="DR67" s="1">
        <v>16.666666666666668</v>
      </c>
      <c r="DS67" s="1">
        <v>0</v>
      </c>
    </row>
    <row r="68">
      <c r="DP68" s="1" t="s">
        <v>128</v>
      </c>
      <c r="DQ68" s="1">
        <v>0</v>
      </c>
      <c r="DR68" s="1">
        <v>0</v>
      </c>
      <c r="DS68" s="1">
        <v>0</v>
      </c>
    </row>
    <row r="69">
      <c r="DP69" s="1" t="s">
        <v>129</v>
      </c>
      <c r="DQ69" s="1">
        <v>0</v>
      </c>
      <c r="DR69" s="1">
        <v>0</v>
      </c>
      <c r="DS69" s="1">
        <v>0</v>
      </c>
    </row>
    <row r="70">
      <c r="DP70" s="1" t="s">
        <v>130</v>
      </c>
      <c r="DQ70" s="1">
        <f>=vlookup("H/508/4588 - Practical Individual Sports",RawScores,5,FALSE)</f>
      </c>
      <c r="DR70" s="1">
        <v>0</v>
      </c>
      <c r="DS70" s="1">
        <v>1</v>
      </c>
    </row>
    <row r="71">
      <c r="DP71" s="1" t="s">
        <v>131</v>
      </c>
      <c r="DQ71" s="1">
        <f>=vlookup("H/508/4588 - Practical Individual Sports",RawScores,6,FALSE)</f>
      </c>
      <c r="DR71" s="1">
        <v>16.666666666666668</v>
      </c>
      <c r="DS71" s="1">
        <v>0</v>
      </c>
    </row>
    <row r="72">
      <c r="DP72" s="1" t="s">
        <v>132</v>
      </c>
      <c r="DQ72" s="1">
        <f>=vlookup("H/508/4588 - Practical Individual Sports",RawScores,7,FALSE)</f>
      </c>
      <c r="DR72" s="1">
        <v>16.666666666666668</v>
      </c>
      <c r="DS72" s="1">
        <v>0</v>
      </c>
    </row>
    <row r="73">
      <c r="DP73" s="1" t="s">
        <v>133</v>
      </c>
      <c r="DQ73" s="1">
        <f>=vlookup("H/508/4588 - Practical Individual Sports",RawScores,8,FALSE)</f>
      </c>
      <c r="DR73" s="1">
        <v>16.666666666666668</v>
      </c>
      <c r="DS73" s="1">
        <v>0</v>
      </c>
    </row>
    <row r="74">
      <c r="DP74" s="1" t="s">
        <v>134</v>
      </c>
      <c r="DQ74" s="1">
        <v>0</v>
      </c>
      <c r="DR74" s="1">
        <v>0</v>
      </c>
      <c r="DS74" s="1">
        <v>0</v>
      </c>
    </row>
    <row r="75">
      <c r="DP75" s="1" t="s">
        <v>135</v>
      </c>
      <c r="DQ75" s="1">
        <v>0</v>
      </c>
      <c r="DR75" s="1">
        <v>0</v>
      </c>
      <c r="DS75" s="1">
        <v>0</v>
      </c>
    </row>
    <row r="76">
      <c r="DP76" s="1" t="s">
        <v>136</v>
      </c>
      <c r="DQ76" s="1">
        <f>=vlookup("K/508/4589 - The Physiology of Fitness",RawScores,5,FALSE)</f>
      </c>
      <c r="DR76" s="1">
        <v>0</v>
      </c>
      <c r="DS76" s="1">
        <v>1</v>
      </c>
    </row>
    <row r="77">
      <c r="DP77" s="1" t="s">
        <v>137</v>
      </c>
      <c r="DQ77" s="1">
        <f>=vlookup("K/508/4589 - The Physiology of Fitness",RawScores,6,FALSE)</f>
      </c>
      <c r="DR77" s="1">
        <v>16.666666666666668</v>
      </c>
      <c r="DS77" s="1">
        <v>0</v>
      </c>
    </row>
    <row r="78">
      <c r="DP78" s="1" t="s">
        <v>138</v>
      </c>
      <c r="DQ78" s="1">
        <f>=vlookup("K/508/4589 - The Physiology of Fitness",RawScores,7,FALSE)</f>
      </c>
      <c r="DR78" s="1">
        <v>16.666666666666668</v>
      </c>
      <c r="DS78" s="1">
        <v>0</v>
      </c>
    </row>
    <row r="79">
      <c r="DP79" s="1" t="s">
        <v>139</v>
      </c>
      <c r="DQ79" s="1">
        <f>=vlookup("K/508/4589 - The Physiology of Fitness",RawScores,8,FALSE)</f>
      </c>
      <c r="DR79" s="1">
        <v>16.666666666666668</v>
      </c>
      <c r="DS79" s="1">
        <v>0</v>
      </c>
    </row>
    <row r="80">
      <c r="DP80" s="1" t="s">
        <v>140</v>
      </c>
      <c r="DQ80" s="1">
        <v>0</v>
      </c>
      <c r="DR80" s="1">
        <v>0</v>
      </c>
      <c r="DS80" s="1">
        <v>0</v>
      </c>
    </row>
    <row r="81">
      <c r="DP81" s="1" t="s">
        <v>141</v>
      </c>
      <c r="DQ81" s="1">
        <v>0</v>
      </c>
      <c r="DR81" s="1">
        <v>0</v>
      </c>
      <c r="DS81" s="1">
        <v>0</v>
      </c>
    </row>
    <row r="82">
      <c r="DP82" s="1" t="s">
        <v>142</v>
      </c>
      <c r="DQ82" s="1">
        <f>=vlookup("F/508/4582 - Assessing Risk in Sport",RawScores,5,FALSE)</f>
      </c>
      <c r="DR82" s="1">
        <v>0</v>
      </c>
      <c r="DS82" s="1">
        <v>1</v>
      </c>
    </row>
    <row r="83">
      <c r="DP83" s="1" t="s">
        <v>143</v>
      </c>
      <c r="DQ83" s="1">
        <f>=vlookup("F/508/4582 - Assessing Risk in Sport",RawScores,6,FALSE)</f>
      </c>
      <c r="DR83" s="1">
        <v>16.666666666666668</v>
      </c>
      <c r="DS83" s="1">
        <v>0</v>
      </c>
    </row>
    <row r="84">
      <c r="DP84" s="1" t="s">
        <v>144</v>
      </c>
      <c r="DQ84" s="1">
        <f>=vlookup("F/508/4582 - Assessing Risk in Sport",RawScores,7,FALSE)</f>
      </c>
      <c r="DR84" s="1">
        <v>16.666666666666668</v>
      </c>
      <c r="DS84" s="1">
        <v>0</v>
      </c>
    </row>
    <row r="85">
      <c r="DP85" s="1" t="s">
        <v>145</v>
      </c>
      <c r="DQ85" s="1">
        <f>=vlookup("F/508/4582 - Assessing Risk in Sport",RawScores,8,FALSE)</f>
      </c>
      <c r="DR85" s="1">
        <v>16.666666666666668</v>
      </c>
      <c r="DS85" s="1">
        <v>0</v>
      </c>
    </row>
    <row r="86">
      <c r="DP86" s="1" t="s">
        <v>146</v>
      </c>
      <c r="DQ86" s="1">
        <v>0</v>
      </c>
      <c r="DR86" s="1">
        <v>0</v>
      </c>
      <c r="DS86" s="1">
        <v>0</v>
      </c>
    </row>
    <row r="87">
      <c r="DP87" s="1" t="s">
        <v>147</v>
      </c>
      <c r="DQ87" s="1">
        <v>0</v>
      </c>
      <c r="DR87" s="1">
        <v>0</v>
      </c>
      <c r="DS87" s="1">
        <v>0</v>
      </c>
    </row>
    <row r="88">
      <c r="DP88" s="1" t="s">
        <v>148</v>
      </c>
      <c r="DQ88" s="1">
        <f>=vlookup("D/508/4590 - Fitness Training and Programming",RawScores,5,FALSE)</f>
      </c>
      <c r="DR88" s="1">
        <v>0</v>
      </c>
      <c r="DS88" s="1">
        <v>1</v>
      </c>
    </row>
    <row r="89">
      <c r="DP89" s="1" t="s">
        <v>149</v>
      </c>
      <c r="DQ89" s="1">
        <f>=vlookup("D/508/4590 - Fitness Training and Programming",RawScores,6,FALSE)</f>
      </c>
      <c r="DR89" s="1">
        <v>16.666666666666668</v>
      </c>
      <c r="DS89" s="1">
        <v>0</v>
      </c>
    </row>
    <row r="90">
      <c r="DP90" s="1" t="s">
        <v>150</v>
      </c>
      <c r="DQ90" s="1">
        <f>=vlookup("D/508/4590 - Fitness Training and Programming",RawScores,7,FALSE)</f>
      </c>
      <c r="DR90" s="1">
        <v>16.666666666666668</v>
      </c>
      <c r="DS90" s="1">
        <v>0</v>
      </c>
    </row>
    <row r="91">
      <c r="DP91" s="1" t="s">
        <v>151</v>
      </c>
      <c r="DQ91" s="1">
        <f>=vlookup("D/508/4590 - Fitness Training and Programming",RawScores,8,FALSE)</f>
      </c>
      <c r="DR91" s="1">
        <v>16.666666666666668</v>
      </c>
      <c r="DS91" s="1">
        <v>0</v>
      </c>
    </row>
    <row r="92">
      <c r="DP92" s="1" t="s">
        <v>152</v>
      </c>
      <c r="DQ92" s="1">
        <v>0</v>
      </c>
      <c r="DR92" s="1">
        <v>0</v>
      </c>
      <c r="DS92" s="1">
        <v>0</v>
      </c>
    </row>
    <row r="93">
      <c r="DP93" s="1" t="s">
        <v>153</v>
      </c>
      <c r="DQ93" s="1">
        <v>0</v>
      </c>
      <c r="DR93" s="1">
        <v>0</v>
      </c>
      <c r="DS93" s="1">
        <v>0</v>
      </c>
    </row>
    <row r="94">
      <c r="DP94" s="1" t="s">
        <v>154</v>
      </c>
      <c r="DQ94" s="1">
        <f>=vlookup("Y/508/4622 - Sports Nutrition",RawScores,5,FALSE)</f>
      </c>
      <c r="DR94" s="1">
        <v>0</v>
      </c>
      <c r="DS94" s="1">
        <v>1</v>
      </c>
    </row>
    <row r="95">
      <c r="DP95" s="1" t="s">
        <v>155</v>
      </c>
      <c r="DQ95" s="1">
        <f>=vlookup("Y/508/4622 - Sports Nutrition",RawScores,6,FALSE)</f>
      </c>
      <c r="DR95" s="1">
        <v>16.666666666666668</v>
      </c>
      <c r="DS95" s="1">
        <v>0</v>
      </c>
    </row>
    <row r="96">
      <c r="DP96" s="1" t="s">
        <v>156</v>
      </c>
      <c r="DQ96" s="1">
        <f>=vlookup("Y/508/4622 - Sports Nutrition",RawScores,7,FALSE)</f>
      </c>
      <c r="DR96" s="1">
        <v>16.666666666666668</v>
      </c>
      <c r="DS96" s="1">
        <v>0</v>
      </c>
    </row>
    <row r="97">
      <c r="DP97" s="1" t="s">
        <v>157</v>
      </c>
      <c r="DQ97" s="1">
        <f>=vlookup("Y/508/4622 - Sports Nutrition",RawScores,8,FALSE)</f>
      </c>
      <c r="DR97" s="1">
        <v>16.666666666666668</v>
      </c>
      <c r="DS97" s="1">
        <v>0</v>
      </c>
    </row>
    <row r="98">
      <c r="DP98" s="1" t="s">
        <v>158</v>
      </c>
      <c r="DQ98" s="1">
        <v>0</v>
      </c>
      <c r="DR98" s="1">
        <v>0</v>
      </c>
      <c r="DS98" s="1">
        <v>0</v>
      </c>
    </row>
    <row r="99">
      <c r="DP99" s="1" t="s">
        <v>159</v>
      </c>
      <c r="DQ99" s="1">
        <v>0</v>
      </c>
      <c r="DR99" s="1">
        <v>0</v>
      </c>
      <c r="DS99" s="1">
        <v>0</v>
      </c>
    </row>
    <row r="100">
      <c r="DP100" s="1" t="s">
        <v>160</v>
      </c>
      <c r="DQ100" s="1">
        <f>=vlookup("M/508/4593 - Technical and Tactical Skills in Sport",RawScores,5,FALSE)</f>
      </c>
      <c r="DR100" s="1">
        <v>0</v>
      </c>
      <c r="DS100" s="1">
        <v>1</v>
      </c>
    </row>
    <row r="101">
      <c r="DP101" s="1" t="s">
        <v>161</v>
      </c>
      <c r="DQ101" s="1">
        <f>=vlookup("M/508/4593 - Technical and Tactical Skills in Sport",RawScores,6,FALSE)</f>
      </c>
      <c r="DR101" s="1">
        <v>16.666666666666668</v>
      </c>
      <c r="DS101" s="1">
        <v>0</v>
      </c>
    </row>
    <row r="102">
      <c r="DP102" s="1" t="s">
        <v>162</v>
      </c>
      <c r="DQ102" s="1">
        <f>=vlookup("M/508/4593 - Technical and Tactical Skills in Sport",RawScores,7,FALSE)</f>
      </c>
      <c r="DR102" s="1">
        <v>16.666666666666668</v>
      </c>
      <c r="DS102" s="1">
        <v>0</v>
      </c>
    </row>
    <row r="103">
      <c r="DP103" s="1" t="s">
        <v>163</v>
      </c>
      <c r="DQ103" s="1">
        <f>=vlookup("M/508/4593 - Technical and Tactical Skills in Sport",RawScores,8,FALSE)</f>
      </c>
      <c r="DR103" s="1">
        <v>16.666666666666668</v>
      </c>
      <c r="DS103" s="1">
        <v>0</v>
      </c>
    </row>
    <row r="104">
      <c r="DP104" s="1" t="s">
        <v>164</v>
      </c>
      <c r="DQ104" s="1">
        <v>0</v>
      </c>
      <c r="DR104" s="1">
        <v>0</v>
      </c>
      <c r="DS104" s="1">
        <v>0</v>
      </c>
    </row>
    <row r="105">
      <c r="DP105" s="1" t="s">
        <v>165</v>
      </c>
      <c r="DQ105" s="1">
        <v>0</v>
      </c>
      <c r="DR105" s="1">
        <v>0</v>
      </c>
      <c r="DS105" s="1">
        <v>0</v>
      </c>
    </row>
    <row r="106">
      <c r="DP106" s="1" t="s">
        <v>166</v>
      </c>
      <c r="DQ106" s="1">
        <f>=vlookup("T/508/4594 - The Athlete's Lifestyle",RawScores,5,FALSE)</f>
      </c>
      <c r="DR106" s="1">
        <v>0</v>
      </c>
      <c r="DS106" s="1">
        <v>1</v>
      </c>
    </row>
    <row r="107">
      <c r="DP107" s="1" t="s">
        <v>167</v>
      </c>
      <c r="DQ107" s="1">
        <f>=vlookup("T/508/4594 - The Athlete's Lifestyle",RawScores,6,FALSE)</f>
      </c>
      <c r="DR107" s="1">
        <v>16.666666666666668</v>
      </c>
      <c r="DS107" s="1">
        <v>0</v>
      </c>
    </row>
    <row r="108">
      <c r="DP108" s="1" t="s">
        <v>168</v>
      </c>
      <c r="DQ108" s="1">
        <f>=vlookup("T/508/4594 - The Athlete's Lifestyle",RawScores,7,FALSE)</f>
      </c>
      <c r="DR108" s="1">
        <v>16.666666666666668</v>
      </c>
      <c r="DS108" s="1">
        <v>0</v>
      </c>
    </row>
    <row r="109">
      <c r="DP109" s="1" t="s">
        <v>169</v>
      </c>
      <c r="DQ109" s="1">
        <f>=vlookup("T/508/4594 - The Athlete's Lifestyle",RawScores,8,FALSE)</f>
      </c>
      <c r="DR109" s="1">
        <v>16.666666666666668</v>
      </c>
      <c r="DS109" s="1">
        <v>0</v>
      </c>
    </row>
    <row r="110">
      <c r="DP110" s="1" t="s">
        <v>170</v>
      </c>
      <c r="DQ110" s="1">
        <v>0</v>
      </c>
      <c r="DR110" s="1">
        <v>0</v>
      </c>
      <c r="DS110" s="1">
        <v>0</v>
      </c>
    </row>
    <row r="111">
      <c r="DP111" s="1" t="s">
        <v>171</v>
      </c>
      <c r="DQ111" s="1">
        <v>0</v>
      </c>
      <c r="DR111" s="1">
        <v>0</v>
      </c>
      <c r="DS111" s="1">
        <v>0</v>
      </c>
    </row>
    <row r="112">
      <c r="DP112" s="1" t="s">
        <v>172</v>
      </c>
      <c r="DQ112" s="1">
        <f>=vlookup("A/508/4595 - Current Issues in Sport",RawScores,5,FALSE)</f>
      </c>
      <c r="DR112" s="1">
        <v>0</v>
      </c>
      <c r="DS112" s="1">
        <v>1</v>
      </c>
    </row>
    <row r="113">
      <c r="DP113" s="1" t="s">
        <v>173</v>
      </c>
      <c r="DQ113" s="1">
        <f>=vlookup("A/508/4595 - Current Issues in Sport",RawScores,6,FALSE)</f>
      </c>
      <c r="DR113" s="1">
        <v>16.666666666666668</v>
      </c>
      <c r="DS113" s="1">
        <v>0</v>
      </c>
    </row>
    <row r="114">
      <c r="DP114" s="1" t="s">
        <v>174</v>
      </c>
      <c r="DQ114" s="1">
        <f>=vlookup("A/508/4595 - Current Issues in Sport",RawScores,7,FALSE)</f>
      </c>
      <c r="DR114" s="1">
        <v>16.666666666666668</v>
      </c>
      <c r="DS114" s="1">
        <v>0</v>
      </c>
    </row>
    <row r="115">
      <c r="DP115" s="1" t="s">
        <v>175</v>
      </c>
      <c r="DQ115" s="1">
        <f>=vlookup("A/508/4595 - Current Issues in Sport",RawScores,8,FALSE)</f>
      </c>
      <c r="DR115" s="1">
        <v>16.666666666666668</v>
      </c>
      <c r="DS115" s="1">
        <v>0</v>
      </c>
    </row>
    <row r="116">
      <c r="DP116" s="1" t="s">
        <v>176</v>
      </c>
      <c r="DQ116" s="1">
        <v>0</v>
      </c>
      <c r="DR116" s="1">
        <v>0</v>
      </c>
      <c r="DS116" s="1">
        <v>0</v>
      </c>
    </row>
    <row r="117">
      <c r="DP117" s="1" t="s">
        <v>177</v>
      </c>
      <c r="DQ117" s="1">
        <v>0</v>
      </c>
      <c r="DR117" s="1">
        <v>0</v>
      </c>
      <c r="DS117" s="1">
        <v>0</v>
      </c>
    </row>
    <row r="118">
      <c r="DP118" s="1" t="s">
        <v>178</v>
      </c>
      <c r="DQ118" s="1">
        <f>=vlookup("F/508/4596 - Instructing Physical Activity and Exercise",RawScores,5,FALSE)</f>
      </c>
      <c r="DR118" s="1">
        <v>0</v>
      </c>
      <c r="DS118" s="1">
        <v>1</v>
      </c>
    </row>
    <row r="119">
      <c r="DP119" s="1" t="s">
        <v>179</v>
      </c>
      <c r="DQ119" s="1">
        <f>=vlookup("F/508/4596 - Instructing Physical Activity and Exercise",RawScores,6,FALSE)</f>
      </c>
      <c r="DR119" s="1">
        <v>16.666666666666668</v>
      </c>
      <c r="DS119" s="1">
        <v>0</v>
      </c>
    </row>
    <row r="120">
      <c r="DP120" s="1" t="s">
        <v>180</v>
      </c>
      <c r="DQ120" s="1">
        <f>=vlookup("F/508/4596 - Instructing Physical Activity and Exercise",RawScores,7,FALSE)</f>
      </c>
      <c r="DR120" s="1">
        <v>16.666666666666668</v>
      </c>
      <c r="DS120" s="1">
        <v>0</v>
      </c>
    </row>
    <row r="121">
      <c r="DP121" s="1" t="s">
        <v>181</v>
      </c>
      <c r="DQ121" s="1">
        <f>=vlookup("F/508/4596 - Instructing Physical Activity and Exercise",RawScores,8,FALSE)</f>
      </c>
      <c r="DR121" s="1">
        <v>16.666666666666668</v>
      </c>
      <c r="DS121" s="1">
        <v>0</v>
      </c>
    </row>
    <row r="122">
      <c r="DP122" s="1" t="s">
        <v>182</v>
      </c>
      <c r="DQ122" s="1">
        <v>0</v>
      </c>
      <c r="DR122" s="1">
        <v>0</v>
      </c>
      <c r="DS122" s="1">
        <v>0</v>
      </c>
    </row>
    <row r="123">
      <c r="DP123" s="1" t="s">
        <v>183</v>
      </c>
      <c r="DQ123" s="1">
        <v>0</v>
      </c>
      <c r="DR123" s="1">
        <v>0</v>
      </c>
      <c r="DS123" s="1">
        <v>0</v>
      </c>
    </row>
    <row r="124">
      <c r="DP124" s="1" t="s">
        <v>184</v>
      </c>
      <c r="DQ124" s="1">
        <f>=vlookup("J/508/4597 - Sports Injuries",RawScores,5,FALSE)</f>
      </c>
      <c r="DR124" s="1">
        <v>0</v>
      </c>
      <c r="DS124" s="1">
        <v>1</v>
      </c>
    </row>
    <row r="125">
      <c r="DP125" s="1" t="s">
        <v>185</v>
      </c>
      <c r="DQ125" s="1">
        <f>=vlookup("J/508/4597 - Sports Injuries",RawScores,6,FALSE)</f>
      </c>
      <c r="DR125" s="1">
        <v>16.666666666666668</v>
      </c>
      <c r="DS125" s="1">
        <v>0</v>
      </c>
    </row>
    <row r="126">
      <c r="DP126" s="1" t="s">
        <v>186</v>
      </c>
      <c r="DQ126" s="1">
        <f>=vlookup("J/508/4597 - Sports Injuries",RawScores,7,FALSE)</f>
      </c>
      <c r="DR126" s="1">
        <v>16.666666666666668</v>
      </c>
      <c r="DS126" s="1">
        <v>0</v>
      </c>
    </row>
    <row r="127">
      <c r="DP127" s="1" t="s">
        <v>187</v>
      </c>
      <c r="DQ127" s="1">
        <f>=vlookup("J/508/4597 - Sports Injuries",RawScores,8,FALSE)</f>
      </c>
      <c r="DR127" s="1">
        <v>16.666666666666668</v>
      </c>
      <c r="DS127" s="1">
        <v>0</v>
      </c>
    </row>
    <row r="128">
      <c r="DP128" s="1" t="s">
        <v>188</v>
      </c>
      <c r="DQ128" s="1">
        <v>0</v>
      </c>
      <c r="DR128" s="1">
        <v>0</v>
      </c>
      <c r="DS128" s="1">
        <v>0</v>
      </c>
    </row>
    <row r="129">
      <c r="DP129" s="1" t="s">
        <v>189</v>
      </c>
      <c r="DQ129" s="1">
        <v>0</v>
      </c>
      <c r="DR129" s="1">
        <v>0</v>
      </c>
      <c r="DS129" s="1">
        <v>0</v>
      </c>
    </row>
    <row r="130">
      <c r="DP130" s="1" t="s">
        <v>190</v>
      </c>
      <c r="DQ130" s="1">
        <f>=vlookup("D/508/4122 - Sports Coaching",RawScores,5,FALSE)</f>
      </c>
      <c r="DR130" s="1">
        <v>0</v>
      </c>
      <c r="DS130" s="1">
        <v>1</v>
      </c>
    </row>
    <row r="131">
      <c r="DP131" s="1" t="s">
        <v>191</v>
      </c>
      <c r="DQ131" s="1">
        <f>=vlookup("D/508/4122 - Sports Coaching",RawScores,6,FALSE)</f>
      </c>
      <c r="DR131" s="1">
        <v>16.666666666666668</v>
      </c>
      <c r="DS131" s="1">
        <v>0</v>
      </c>
    </row>
    <row r="132">
      <c r="DP132" s="1" t="s">
        <v>192</v>
      </c>
      <c r="DQ132" s="1">
        <f>=vlookup("D/508/4122 - Sports Coaching",RawScores,7,FALSE)</f>
      </c>
      <c r="DR132" s="1">
        <v>16.666666666666668</v>
      </c>
      <c r="DS132" s="1">
        <v>0</v>
      </c>
    </row>
    <row r="133">
      <c r="DP133" s="1" t="s">
        <v>193</v>
      </c>
      <c r="DQ133" s="1">
        <f>=vlookup("D/508/4122 - Sports Coaching",RawScores,8,FALSE)</f>
      </c>
      <c r="DR133" s="1">
        <v>16.666666666666668</v>
      </c>
      <c r="DS133" s="1">
        <v>0</v>
      </c>
    </row>
    <row r="134">
      <c r="DP134" s="1" t="s">
        <v>194</v>
      </c>
      <c r="DQ134" s="1">
        <v>0</v>
      </c>
      <c r="DR134" s="1">
        <v>0</v>
      </c>
      <c r="DS134" s="1">
        <v>0</v>
      </c>
    </row>
    <row r="135">
      <c r="DP135" s="1" t="s">
        <v>195</v>
      </c>
      <c r="DQ135" s="1">
        <v>0</v>
      </c>
      <c r="DR135" s="1">
        <v>0</v>
      </c>
      <c r="DS135" s="1">
        <v>0</v>
      </c>
    </row>
    <row r="136">
      <c r="DP136" s="1" t="s">
        <v>196</v>
      </c>
      <c r="DQ136" s="1">
        <f>=vlookup("R/508/4599 - Leadership in Sport",RawScores,5,FALSE)</f>
      </c>
      <c r="DR136" s="1">
        <v>0</v>
      </c>
      <c r="DS136" s="1">
        <v>1</v>
      </c>
    </row>
    <row r="137">
      <c r="DP137" s="1" t="s">
        <v>197</v>
      </c>
      <c r="DQ137" s="1">
        <f>=vlookup("R/508/4599 - Leadership in Sport",RawScores,6,FALSE)</f>
      </c>
      <c r="DR137" s="1">
        <v>16.666666666666668</v>
      </c>
      <c r="DS137" s="1">
        <v>0</v>
      </c>
    </row>
    <row r="138">
      <c r="DP138" s="1" t="s">
        <v>198</v>
      </c>
      <c r="DQ138" s="1">
        <f>=vlookup("R/508/4599 - Leadership in Sport",RawScores,7,FALSE)</f>
      </c>
      <c r="DR138" s="1">
        <v>16.666666666666668</v>
      </c>
      <c r="DS138" s="1">
        <v>0</v>
      </c>
    </row>
    <row r="139">
      <c r="DP139" s="1" t="s">
        <v>199</v>
      </c>
      <c r="DQ139" s="1">
        <f>=vlookup("R/508/4599 - Leadership in Sport",RawScores,8,FALSE)</f>
      </c>
      <c r="DR139" s="1">
        <v>16.666666666666668</v>
      </c>
      <c r="DS139" s="1">
        <v>0</v>
      </c>
    </row>
    <row r="140">
      <c r="DP140" s="1" t="s">
        <v>200</v>
      </c>
      <c r="DQ140" s="1">
        <v>0</v>
      </c>
      <c r="DR140" s="1">
        <v>0</v>
      </c>
      <c r="DS140" s="1">
        <v>0</v>
      </c>
    </row>
    <row r="141">
      <c r="DP141" s="1" t="s">
        <v>201</v>
      </c>
      <c r="DQ141" s="1">
        <v>0</v>
      </c>
      <c r="DR141" s="1">
        <v>0</v>
      </c>
      <c r="DS141" s="1">
        <v>0</v>
      </c>
    </row>
    <row r="142">
      <c r="DP142" s="1" t="s">
        <v>202</v>
      </c>
      <c r="DQ142" s="1">
        <f>=vlookup("A/508/4600 - Analysis of Sports Performance",RawScores,5,FALSE)</f>
      </c>
      <c r="DR142" s="1">
        <v>0</v>
      </c>
      <c r="DS142" s="1">
        <v>1</v>
      </c>
    </row>
    <row r="143">
      <c r="DP143" s="1" t="s">
        <v>203</v>
      </c>
      <c r="DQ143" s="1">
        <f>=vlookup("A/508/4600 - Analysis of Sports Performance",RawScores,6,FALSE)</f>
      </c>
      <c r="DR143" s="1">
        <v>16.666666666666668</v>
      </c>
      <c r="DS143" s="1">
        <v>0</v>
      </c>
    </row>
    <row r="144">
      <c r="DP144" s="1" t="s">
        <v>204</v>
      </c>
      <c r="DQ144" s="1">
        <f>=vlookup("A/508/4600 - Analysis of Sports Performance",RawScores,7,FALSE)</f>
      </c>
      <c r="DR144" s="1">
        <v>16.666666666666668</v>
      </c>
      <c r="DS144" s="1">
        <v>0</v>
      </c>
    </row>
    <row r="145">
      <c r="DP145" s="1" t="s">
        <v>205</v>
      </c>
      <c r="DQ145" s="1">
        <f>=vlookup("A/508/4600 - Analysis of Sports Performance",RawScores,8,FALSE)</f>
      </c>
      <c r="DR145" s="1">
        <v>16.666666666666668</v>
      </c>
      <c r="DS145" s="1">
        <v>0</v>
      </c>
    </row>
    <row r="146">
      <c r="DP146" s="1" t="s">
        <v>206</v>
      </c>
      <c r="DQ146" s="1">
        <v>0</v>
      </c>
      <c r="DR146" s="1">
        <v>0</v>
      </c>
      <c r="DS146" s="1">
        <v>0</v>
      </c>
    </row>
    <row r="147">
      <c r="DP147" s="1" t="s">
        <v>207</v>
      </c>
      <c r="DQ147" s="1">
        <v>0</v>
      </c>
      <c r="DR147" s="1">
        <v>0</v>
      </c>
      <c r="DS147" s="1">
        <v>0</v>
      </c>
    </row>
    <row r="148">
      <c r="DP148" s="1" t="s">
        <v>208</v>
      </c>
      <c r="DQ148" s="1">
        <f>=vlookup("F/508/4601 - Ethics and Values in Sport",RawScores,5,FALSE)</f>
      </c>
      <c r="DR148" s="1">
        <v>0</v>
      </c>
      <c r="DS148" s="1">
        <v>1</v>
      </c>
    </row>
    <row r="149">
      <c r="DP149" s="1" t="s">
        <v>209</v>
      </c>
      <c r="DQ149" s="1">
        <f>=vlookup("F/508/4601 - Ethics and Values in Sport",RawScores,6,FALSE)</f>
      </c>
      <c r="DR149" s="1">
        <v>16.666666666666668</v>
      </c>
      <c r="DS149" s="1">
        <v>0</v>
      </c>
    </row>
    <row r="150">
      <c r="DP150" s="1" t="s">
        <v>210</v>
      </c>
      <c r="DQ150" s="1">
        <f>=vlookup("F/508/4601 - Ethics and Values in Sport",RawScores,7,FALSE)</f>
      </c>
      <c r="DR150" s="1">
        <v>16.666666666666668</v>
      </c>
      <c r="DS150" s="1">
        <v>0</v>
      </c>
    </row>
    <row r="151">
      <c r="DP151" s="1" t="s">
        <v>211</v>
      </c>
      <c r="DQ151" s="1">
        <f>=vlookup("F/508/4601 - Ethics and Values in Sport",RawScores,8,FALSE)</f>
      </c>
      <c r="DR151" s="1">
        <v>16.666666666666668</v>
      </c>
      <c r="DS151" s="1">
        <v>0</v>
      </c>
    </row>
    <row r="152">
      <c r="DP152" s="1" t="s">
        <v>212</v>
      </c>
      <c r="DQ152" s="1">
        <v>0</v>
      </c>
      <c r="DR152" s="1">
        <v>0</v>
      </c>
      <c r="DS152" s="1">
        <v>0</v>
      </c>
    </row>
    <row r="153">
      <c r="DP153" s="1" t="s">
        <v>213</v>
      </c>
      <c r="DQ153" s="1">
        <v>0</v>
      </c>
      <c r="DR153" s="1">
        <v>0</v>
      </c>
      <c r="DS153" s="1">
        <v>0</v>
      </c>
    </row>
    <row r="154">
      <c r="DP154" s="1" t="s">
        <v>214</v>
      </c>
      <c r="DQ154" s="1">
        <f>=vlookup("L/508/4603 - Sport and Exercise Massage",RawScores,5,FALSE)</f>
      </c>
      <c r="DR154" s="1">
        <v>0</v>
      </c>
      <c r="DS154" s="1">
        <v>1</v>
      </c>
    </row>
    <row r="155">
      <c r="DP155" s="1" t="s">
        <v>215</v>
      </c>
      <c r="DQ155" s="1">
        <f>=vlookup("L/508/4603 - Sport and Exercise Massage",RawScores,6,FALSE)</f>
      </c>
      <c r="DR155" s="1">
        <v>16.666666666666668</v>
      </c>
      <c r="DS155" s="1">
        <v>0</v>
      </c>
    </row>
    <row r="156">
      <c r="DP156" s="1" t="s">
        <v>216</v>
      </c>
      <c r="DQ156" s="1">
        <f>=vlookup("L/508/4603 - Sport and Exercise Massage",RawScores,7,FALSE)</f>
      </c>
      <c r="DR156" s="1">
        <v>16.666666666666668</v>
      </c>
      <c r="DS156" s="1">
        <v>0</v>
      </c>
    </row>
    <row r="157">
      <c r="DP157" s="1" t="s">
        <v>217</v>
      </c>
      <c r="DQ157" s="1">
        <f>=vlookup("L/508/4603 - Sport and Exercise Massage",RawScores,8,FALSE)</f>
      </c>
      <c r="DR157" s="1">
        <v>16.666666666666668</v>
      </c>
      <c r="DS157" s="1">
        <v>0</v>
      </c>
    </row>
    <row r="158">
      <c r="DP158" s="1" t="s">
        <v>218</v>
      </c>
      <c r="DQ158" s="1">
        <v>0</v>
      </c>
      <c r="DR158" s="1">
        <v>0</v>
      </c>
      <c r="DS158" s="1">
        <v>0</v>
      </c>
    </row>
    <row r="159">
      <c r="DP159" s="1" t="s">
        <v>219</v>
      </c>
      <c r="DQ159" s="1">
        <v>0</v>
      </c>
      <c r="DR159" s="1">
        <v>0</v>
      </c>
      <c r="DS159" s="1">
        <v>0</v>
      </c>
    </row>
    <row r="160">
      <c r="DP160" s="1" t="s">
        <v>220</v>
      </c>
      <c r="DQ160" s="1">
        <f>=vlookup("R/508/4604 - Organising Sports Events",RawScores,5,FALSE)</f>
      </c>
      <c r="DR160" s="1">
        <v>0</v>
      </c>
      <c r="DS160" s="1">
        <v>1</v>
      </c>
    </row>
    <row r="161">
      <c r="DP161" s="1" t="s">
        <v>221</v>
      </c>
      <c r="DQ161" s="1">
        <f>=vlookup("R/508/4604 - Organising Sports Events",RawScores,6,FALSE)</f>
      </c>
      <c r="DR161" s="1">
        <v>16.666666666666668</v>
      </c>
      <c r="DS161" s="1">
        <v>0</v>
      </c>
    </row>
    <row r="162">
      <c r="DP162" s="1" t="s">
        <v>222</v>
      </c>
      <c r="DQ162" s="1">
        <f>=vlookup("R/508/4604 - Organising Sports Events",RawScores,7,FALSE)</f>
      </c>
      <c r="DR162" s="1">
        <v>16.666666666666668</v>
      </c>
      <c r="DS162" s="1">
        <v>0</v>
      </c>
    </row>
    <row r="163">
      <c r="DP163" s="1" t="s">
        <v>223</v>
      </c>
      <c r="DQ163" s="1">
        <f>=vlookup("R/508/4604 - Organising Sports Events",RawScores,8,FALSE)</f>
      </c>
      <c r="DR163" s="1">
        <v>16.666666666666668</v>
      </c>
      <c r="DS163" s="1">
        <v>0</v>
      </c>
    </row>
    <row r="164">
      <c r="DP164" s="1" t="s">
        <v>224</v>
      </c>
      <c r="DQ164" s="1">
        <v>0</v>
      </c>
      <c r="DR164" s="1">
        <v>0</v>
      </c>
      <c r="DS164" s="1">
        <v>0</v>
      </c>
    </row>
    <row r="165">
      <c r="DP165" s="1" t="s">
        <v>225</v>
      </c>
      <c r="DQ165" s="1">
        <v>0</v>
      </c>
      <c r="DR165" s="1">
        <v>0</v>
      </c>
      <c r="DS165" s="1">
        <v>0</v>
      </c>
    </row>
    <row r="166">
      <c r="DP166" s="1" t="s">
        <v>226</v>
      </c>
      <c r="DQ166" s="1">
        <f>=vlookup("D/508/4606 - Applied Strength and Conditioning",RawScores,5,FALSE)</f>
      </c>
      <c r="DR166" s="1">
        <v>0</v>
      </c>
      <c r="DS166" s="1">
        <v>1</v>
      </c>
    </row>
    <row r="167">
      <c r="DP167" s="1" t="s">
        <v>227</v>
      </c>
      <c r="DQ167" s="1">
        <f>=vlookup("D/508/4606 - Applied Strength and Conditioning",RawScores,6,FALSE)</f>
      </c>
      <c r="DR167" s="1">
        <v>16.666666666666668</v>
      </c>
      <c r="DS167" s="1">
        <v>0</v>
      </c>
    </row>
    <row r="168">
      <c r="DP168" s="1" t="s">
        <v>228</v>
      </c>
      <c r="DQ168" s="1">
        <f>=vlookup("D/508/4606 - Applied Strength and Conditioning",RawScores,7,FALSE)</f>
      </c>
      <c r="DR168" s="1">
        <v>16.666666666666668</v>
      </c>
      <c r="DS168" s="1">
        <v>0</v>
      </c>
    </row>
    <row r="169">
      <c r="DP169" s="1" t="s">
        <v>229</v>
      </c>
      <c r="DQ169" s="1">
        <f>=vlookup("D/508/4606 - Applied Strength and Conditioning",RawScores,8,FALSE)</f>
      </c>
      <c r="DR169" s="1">
        <v>16.666666666666668</v>
      </c>
      <c r="DS169" s="1">
        <v>0</v>
      </c>
    </row>
    <row r="170">
      <c r="DP170" s="1" t="s">
        <v>230</v>
      </c>
      <c r="DQ170" s="1">
        <v>0</v>
      </c>
      <c r="DR170" s="1">
        <v>0</v>
      </c>
      <c r="DS170" s="1">
        <v>0</v>
      </c>
    </row>
    <row r="171">
      <c r="DP171" s="1" t="s">
        <v>231</v>
      </c>
      <c r="DQ171" s="1">
        <v>0</v>
      </c>
      <c r="DR171" s="1">
        <v>0</v>
      </c>
      <c r="DS171" s="1">
        <v>0</v>
      </c>
    </row>
    <row r="172">
      <c r="DP172" s="1" t="s">
        <v>232</v>
      </c>
      <c r="DQ172" s="1">
        <f>=vlookup("D/508/4623 - Personal and Professional Development",RawScores,5,FALSE)</f>
      </c>
      <c r="DR172" s="1">
        <v>0</v>
      </c>
      <c r="DS172" s="1">
        <v>1</v>
      </c>
    </row>
    <row r="173">
      <c r="DP173" s="1" t="s">
        <v>233</v>
      </c>
      <c r="DQ173" s="1">
        <f>=vlookup("D/508/4623 - Personal and Professional Development",RawScores,6,FALSE)</f>
      </c>
      <c r="DR173" s="1">
        <v>16.666666666666668</v>
      </c>
      <c r="DS173" s="1">
        <v>0</v>
      </c>
    </row>
    <row r="174">
      <c r="DP174" s="1" t="s">
        <v>234</v>
      </c>
      <c r="DQ174" s="1">
        <f>=vlookup("D/508/4623 - Personal and Professional Development",RawScores,7,FALSE)</f>
      </c>
      <c r="DR174" s="1">
        <v>16.666666666666668</v>
      </c>
      <c r="DS174" s="1">
        <v>0</v>
      </c>
    </row>
    <row r="175">
      <c r="DP175" s="1" t="s">
        <v>235</v>
      </c>
      <c r="DQ175" s="1">
        <f>=vlookup("D/508/4623 - Personal and Professional Development",RawScores,8,FALSE)</f>
      </c>
      <c r="DR175" s="1">
        <v>16.666666666666668</v>
      </c>
      <c r="DS175" s="1">
        <v>0</v>
      </c>
    </row>
    <row r="176">
      <c r="DP176" s="1" t="s">
        <v>236</v>
      </c>
      <c r="DQ176" s="1">
        <v>0</v>
      </c>
      <c r="DR176" s="1">
        <v>0</v>
      </c>
      <c r="DS176" s="1">
        <v>0</v>
      </c>
    </row>
    <row r="177">
      <c r="DP177" s="1" t="s">
        <v>237</v>
      </c>
      <c r="DQ177" s="1">
        <v>0</v>
      </c>
      <c r="DR177" s="1">
        <v>0</v>
      </c>
      <c r="DS177" s="1">
        <v>0</v>
      </c>
    </row>
    <row r="178">
      <c r="DP178" s="1" t="s">
        <v>238</v>
      </c>
      <c r="DQ178" s="1">
        <f>=vlookup("Y/508/4586 - Work Experience in Sport",RawScores,5,FALSE)</f>
      </c>
      <c r="DR178" s="1">
        <v>0</v>
      </c>
      <c r="DS178" s="1">
        <v>1</v>
      </c>
    </row>
    <row r="179">
      <c r="DP179" s="1" t="s">
        <v>239</v>
      </c>
      <c r="DQ179" s="1">
        <f>=vlookup("Y/508/4586 - Work Experience in Sport",RawScores,6,FALSE)</f>
      </c>
      <c r="DR179" s="1">
        <v>16.666666666666668</v>
      </c>
      <c r="DS179" s="1">
        <v>0</v>
      </c>
    </row>
    <row r="180">
      <c r="DP180" s="1" t="s">
        <v>240</v>
      </c>
      <c r="DQ180" s="1">
        <f>=vlookup("Y/508/4586 - Work Experience in Sport",RawScores,7,FALSE)</f>
      </c>
      <c r="DR180" s="1">
        <v>16.666666666666668</v>
      </c>
      <c r="DS180" s="1">
        <v>0</v>
      </c>
    </row>
    <row r="181">
      <c r="DP181" s="1" t="s">
        <v>241</v>
      </c>
      <c r="DQ181" s="1">
        <f>=vlookup("Y/508/4586 - Work Experience in Sport",RawScores,8,FALSE)</f>
      </c>
      <c r="DR181" s="1">
        <v>16.666666666666668</v>
      </c>
      <c r="DS181" s="1">
        <v>0</v>
      </c>
    </row>
  </sheetData>
  <sheetProtection sheet="1" password="a096" formatColumns="0"/>
  <dataValidations count="30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  <dataValidation type="list" sqref="F37" showErrorMessage="1" allowBlank="1" errorStyle="stop" errorTitle="Error" error="Selection not valid">
      <formula1>=Grades</formula1>
    </dataValidation>
    <dataValidation type="list" sqref="F38" showErrorMessage="1" allowBlank="1" errorStyle="stop" errorTitle="Error" error="Selection not valid">
      <formula1>=Grades</formula1>
    </dataValidation>
    <dataValidation type="list" sqref="F39" showErrorMessage="1" allowBlank="1" errorStyle="stop" errorTitle="Error" error="Selection not valid">
      <formula1>=Grades</formula1>
    </dataValidation>
    <dataValidation type="list" sqref="F40" showErrorMessage="1" allowBlank="1" errorStyle="stop" errorTitle="Error" error="Selection not valid">
      <formula1>=Grades</formula1>
    </dataValidation>
    <dataValidation type="list" sqref="F41" showErrorMessage="1" allowBlank="1" errorStyle="stop" errorTitle="Error" error="Selection not valid">
      <formula1>=Grades</formula1>
    </dataValidation>
  </dataValidations>
  <headerFooter/>
  <drawing r:id="rId1"/>
</worksheet>
</file>